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0" yWindow="0" windowWidth="28800" windowHeight="12330" tabRatio="975" firstSheet="1" activeTab="14"/>
  </bookViews>
  <sheets>
    <sheet name="Таблица 1" sheetId="1" r:id="rId1"/>
    <sheet name="Таблица 2" sheetId="2" r:id="rId2"/>
    <sheet name="Таблица 3" sheetId="3" r:id="rId3"/>
    <sheet name="Эл.энергия+Тепло" sheetId="5" r:id="rId4"/>
    <sheet name="Осн и вспом. раб" sheetId="4" r:id="rId5"/>
    <sheet name="ИТР" sheetId="7" r:id="rId6"/>
    <sheet name="Фонд ЗП осн. раб" sheetId="8" r:id="rId7"/>
    <sheet name="Фонд ЗП вспом. раб" sheetId="9" r:id="rId8"/>
    <sheet name="годовой ФОТ" sheetId="10" r:id="rId9"/>
    <sheet name="Калькуляция" sheetId="11" r:id="rId10"/>
    <sheet name="РСЭО" sheetId="12" r:id="rId11"/>
    <sheet name="цеховые" sheetId="13" r:id="rId12"/>
    <sheet name="11. Сметы затрат произв" sheetId="14" r:id="rId13"/>
    <sheet name="12. Расчета обьема пр" sheetId="15" r:id="rId14"/>
    <sheet name="13. Техн-эк пок-ли" sheetId="17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E7" i="1"/>
  <c r="F7" i="1"/>
  <c r="G7" i="1"/>
  <c r="K7" i="1"/>
  <c r="H8" i="1"/>
  <c r="I8" i="1"/>
  <c r="J8" i="1"/>
  <c r="K8" i="1"/>
  <c r="E9" i="1"/>
  <c r="F9" i="1"/>
  <c r="G9" i="1"/>
  <c r="H9" i="1"/>
  <c r="I9" i="1"/>
  <c r="J9" i="1"/>
  <c r="K9" i="1"/>
  <c r="E11" i="1"/>
  <c r="F11" i="1"/>
  <c r="G11" i="1"/>
  <c r="H11" i="1"/>
  <c r="I11" i="1"/>
  <c r="J11" i="1"/>
  <c r="K11" i="1"/>
  <c r="E14" i="1"/>
  <c r="F14" i="1"/>
  <c r="G14" i="1"/>
  <c r="H14" i="1"/>
  <c r="I14" i="1"/>
  <c r="J14" i="1"/>
  <c r="K14" i="1"/>
  <c r="K16" i="1" s="1"/>
  <c r="K15" i="1"/>
  <c r="E16" i="1"/>
  <c r="F16" i="1"/>
  <c r="G16" i="1"/>
  <c r="H16" i="1"/>
  <c r="I16" i="1"/>
  <c r="J16" i="1"/>
  <c r="E22" i="17"/>
  <c r="E18" i="17"/>
  <c r="F13" i="11" l="1"/>
  <c r="D10" i="12"/>
  <c r="D8" i="12"/>
  <c r="J10" i="12"/>
  <c r="J9" i="12"/>
  <c r="B3" i="5"/>
  <c r="N15" i="1"/>
  <c r="B8" i="5"/>
  <c r="I2" i="5"/>
  <c r="E6" i="11"/>
  <c r="E5" i="11"/>
  <c r="E9" i="11"/>
  <c r="E8" i="11"/>
  <c r="D6" i="11"/>
  <c r="D5" i="11"/>
  <c r="C6" i="11"/>
  <c r="C5" i="11"/>
  <c r="B6" i="11"/>
  <c r="B5" i="11"/>
  <c r="C5" i="9"/>
  <c r="B12" i="10"/>
  <c r="B11" i="10"/>
  <c r="B10" i="10"/>
  <c r="B9" i="10"/>
  <c r="B8" i="10"/>
  <c r="B7" i="10"/>
  <c r="B6" i="10"/>
  <c r="B5" i="10"/>
  <c r="B4" i="10"/>
  <c r="B3" i="10"/>
  <c r="B2" i="10"/>
  <c r="T5" i="8"/>
  <c r="T4" i="8"/>
  <c r="L5" i="8"/>
  <c r="L4" i="8"/>
  <c r="C5" i="8"/>
  <c r="C4" i="8"/>
  <c r="Q22" i="4"/>
  <c r="S7" i="4" l="1"/>
  <c r="S6" i="4"/>
  <c r="S5" i="4"/>
  <c r="S4" i="4"/>
  <c r="S8" i="4"/>
  <c r="S3" i="4"/>
  <c r="R8" i="4"/>
  <c r="R7" i="4"/>
  <c r="R5" i="4"/>
  <c r="R6" i="4"/>
  <c r="R4" i="4"/>
  <c r="R3" i="4"/>
  <c r="B2" i="5"/>
  <c r="O8" i="8"/>
  <c r="F8" i="8"/>
  <c r="H27" i="4" l="1"/>
  <c r="C5" i="15"/>
  <c r="D5" i="15" s="1"/>
  <c r="C4" i="15"/>
  <c r="D4" i="15" s="1"/>
  <c r="E4" i="17" s="1"/>
  <c r="D6" i="15" l="1"/>
  <c r="E6" i="17" s="1"/>
  <c r="E5" i="17"/>
  <c r="M10" i="12" l="1"/>
  <c r="M9" i="12"/>
  <c r="M8" i="12"/>
  <c r="M7" i="12"/>
  <c r="M6" i="12"/>
  <c r="M5" i="12"/>
  <c r="M4" i="12"/>
  <c r="G4" i="10" l="1"/>
  <c r="H4" i="10" s="1"/>
  <c r="G8" i="10"/>
  <c r="H8" i="10" s="1"/>
  <c r="C3" i="10"/>
  <c r="E3" i="10" s="1"/>
  <c r="G3" i="10" s="1"/>
  <c r="H3" i="10" s="1"/>
  <c r="C12" i="10"/>
  <c r="E12" i="10" s="1"/>
  <c r="G12" i="10" s="1"/>
  <c r="H12" i="10" s="1"/>
  <c r="E4" i="10"/>
  <c r="E5" i="10"/>
  <c r="G5" i="10" s="1"/>
  <c r="H5" i="10" s="1"/>
  <c r="E6" i="10"/>
  <c r="G6" i="10" s="1"/>
  <c r="H6" i="10" s="1"/>
  <c r="E7" i="10"/>
  <c r="G7" i="10" s="1"/>
  <c r="H7" i="10" s="1"/>
  <c r="E8" i="10"/>
  <c r="E9" i="10"/>
  <c r="G9" i="10" s="1"/>
  <c r="H9" i="10" s="1"/>
  <c r="E10" i="10"/>
  <c r="G10" i="10" s="1"/>
  <c r="H10" i="10" s="1"/>
  <c r="E11" i="10"/>
  <c r="G11" i="10" s="1"/>
  <c r="H11" i="10" s="1"/>
  <c r="E2" i="10"/>
  <c r="G2" i="10" s="1"/>
  <c r="H2" i="10" s="1"/>
  <c r="H13" i="10" l="1"/>
  <c r="E3" i="9"/>
  <c r="G3" i="9" s="1"/>
  <c r="E5" i="9"/>
  <c r="G5" i="9" s="1"/>
  <c r="C4" i="9"/>
  <c r="E4" i="9" s="1"/>
  <c r="G4" i="9" s="1"/>
  <c r="C26" i="4"/>
  <c r="Q20" i="4" s="1"/>
  <c r="G6" i="9" l="1"/>
  <c r="G11" i="9" s="1"/>
  <c r="G10" i="9" l="1"/>
  <c r="G12" i="9"/>
  <c r="H3" i="9"/>
  <c r="H4" i="9"/>
  <c r="H5" i="9"/>
  <c r="G8" i="9"/>
  <c r="I15" i="4"/>
  <c r="J15" i="4" s="1"/>
  <c r="I10" i="4"/>
  <c r="D10" i="4"/>
  <c r="E10" i="4"/>
  <c r="F10" i="4"/>
  <c r="G10" i="4"/>
  <c r="H10" i="4"/>
  <c r="C10" i="4"/>
  <c r="C6" i="4"/>
  <c r="D3" i="4"/>
  <c r="E3" i="4"/>
  <c r="C3" i="4"/>
  <c r="H5" i="4"/>
  <c r="G5" i="4"/>
  <c r="F5" i="4"/>
  <c r="B7" i="5"/>
  <c r="B6" i="5"/>
  <c r="B5" i="5"/>
  <c r="B4" i="5"/>
  <c r="A2" i="5"/>
  <c r="A7" i="5"/>
  <c r="A6" i="5"/>
  <c r="A5" i="5"/>
  <c r="A4" i="5"/>
  <c r="A3" i="5"/>
  <c r="B4" i="3"/>
  <c r="K2" i="3"/>
  <c r="H3" i="3"/>
  <c r="I3" i="3" s="1"/>
  <c r="L3" i="3" s="1"/>
  <c r="H2" i="3"/>
  <c r="I2" i="3" s="1"/>
  <c r="F3" i="3"/>
  <c r="J3" i="3" s="1"/>
  <c r="F2" i="3"/>
  <c r="J2" i="3" s="1"/>
  <c r="K14" i="2"/>
  <c r="K13" i="2"/>
  <c r="K12" i="2"/>
  <c r="K7" i="2"/>
  <c r="K8" i="2"/>
  <c r="K9" i="2"/>
  <c r="K10" i="2"/>
  <c r="K11" i="2"/>
  <c r="K6" i="2"/>
  <c r="I7" i="2"/>
  <c r="I8" i="2"/>
  <c r="I9" i="2"/>
  <c r="I10" i="2"/>
  <c r="I11" i="2"/>
  <c r="I6" i="2"/>
  <c r="F11" i="2"/>
  <c r="F10" i="2"/>
  <c r="F9" i="2"/>
  <c r="P9" i="2" s="1"/>
  <c r="F8" i="2"/>
  <c r="P8" i="2" s="1"/>
  <c r="F7" i="2"/>
  <c r="F6" i="2"/>
  <c r="B11" i="2"/>
  <c r="O11" i="2" s="1"/>
  <c r="P8" i="4" s="1"/>
  <c r="B10" i="2"/>
  <c r="O10" i="2" s="1"/>
  <c r="P7" i="4" s="1"/>
  <c r="B9" i="2"/>
  <c r="O9" i="2" s="1"/>
  <c r="P6" i="4" s="1"/>
  <c r="B8" i="2"/>
  <c r="O8" i="2" s="1"/>
  <c r="P5" i="4" s="1"/>
  <c r="B7" i="2"/>
  <c r="O7" i="2" s="1"/>
  <c r="P4" i="4" s="1"/>
  <c r="B6" i="2"/>
  <c r="O6" i="2" s="1"/>
  <c r="P3" i="4" s="1"/>
  <c r="J10" i="2" l="1"/>
  <c r="L10" i="2" s="1"/>
  <c r="J7" i="2"/>
  <c r="L7" i="2" s="1"/>
  <c r="J11" i="2"/>
  <c r="L11" i="2" s="1"/>
  <c r="M3" i="3"/>
  <c r="I5" i="4"/>
  <c r="I3" i="4"/>
  <c r="B9" i="11"/>
  <c r="N3" i="3"/>
  <c r="J4" i="3"/>
  <c r="B10" i="11" s="1"/>
  <c r="I4" i="3"/>
  <c r="L2" i="3"/>
  <c r="L4" i="3" s="1"/>
  <c r="O9" i="8"/>
  <c r="O7" i="8" s="1"/>
  <c r="O13" i="8" s="1"/>
  <c r="F9" i="8"/>
  <c r="F7" i="8" s="1"/>
  <c r="F13" i="8" s="1"/>
  <c r="C13" i="7"/>
  <c r="C16" i="7" s="1"/>
  <c r="Q19" i="4"/>
  <c r="E41" i="17" s="1"/>
  <c r="G9" i="9"/>
  <c r="G7" i="9" s="1"/>
  <c r="G13" i="9" s="1"/>
  <c r="P7" i="2"/>
  <c r="Q4" i="4" s="1"/>
  <c r="F5" i="2"/>
  <c r="J8" i="2"/>
  <c r="L8" i="2" s="1"/>
  <c r="P11" i="2"/>
  <c r="Q8" i="4" s="1"/>
  <c r="Q6" i="4"/>
  <c r="R9" i="2"/>
  <c r="Q5" i="4"/>
  <c r="R8" i="2"/>
  <c r="J9" i="2"/>
  <c r="L9" i="2" s="1"/>
  <c r="P6" i="2"/>
  <c r="P10" i="2"/>
  <c r="J6" i="2"/>
  <c r="R11" i="2"/>
  <c r="R7" i="2"/>
  <c r="K3" i="2"/>
  <c r="K4" i="2"/>
  <c r="I4" i="2"/>
  <c r="I3" i="2"/>
  <c r="E31" i="17"/>
  <c r="C9" i="4"/>
  <c r="C11" i="4" s="1"/>
  <c r="N4" i="8" s="1"/>
  <c r="H8" i="4"/>
  <c r="G8" i="4"/>
  <c r="F8" i="4"/>
  <c r="E6" i="4"/>
  <c r="I6" i="4" s="1"/>
  <c r="D6" i="4"/>
  <c r="E40" i="17" l="1"/>
  <c r="F3" i="2"/>
  <c r="B12" i="5" s="1"/>
  <c r="D9" i="4"/>
  <c r="D11" i="4" s="1"/>
  <c r="C13" i="4"/>
  <c r="H9" i="4"/>
  <c r="H11" i="4" s="1"/>
  <c r="H13" i="4" s="1"/>
  <c r="G14" i="9"/>
  <c r="G15" i="9" s="1"/>
  <c r="G18" i="9" s="1"/>
  <c r="I8" i="4"/>
  <c r="D2" i="5"/>
  <c r="D13" i="4"/>
  <c r="F14" i="8"/>
  <c r="F15" i="8" s="1"/>
  <c r="D7" i="5"/>
  <c r="I7" i="5" s="1"/>
  <c r="K7" i="5" s="1"/>
  <c r="O14" i="8"/>
  <c r="O15" i="8" s="1"/>
  <c r="M2" i="3"/>
  <c r="E29" i="17"/>
  <c r="L6" i="2"/>
  <c r="L5" i="2" s="1"/>
  <c r="J5" i="2"/>
  <c r="Q3" i="4"/>
  <c r="R6" i="2"/>
  <c r="P12" i="2"/>
  <c r="J3" i="12" s="1"/>
  <c r="M3" i="12" s="1"/>
  <c r="M11" i="12" s="1"/>
  <c r="D7" i="12" s="1"/>
  <c r="Q7" i="4"/>
  <c r="R10" i="2"/>
  <c r="I7" i="3" l="1"/>
  <c r="D8" i="13"/>
  <c r="D7" i="13"/>
  <c r="G19" i="9"/>
  <c r="G20" i="9"/>
  <c r="G17" i="9"/>
  <c r="J3" i="2"/>
  <c r="L3" i="2" s="1"/>
  <c r="F4" i="2"/>
  <c r="E30" i="17" s="1"/>
  <c r="I9" i="4"/>
  <c r="E37" i="17"/>
  <c r="F18" i="8"/>
  <c r="F16" i="8" s="1"/>
  <c r="F21" i="8" s="1"/>
  <c r="D3" i="5"/>
  <c r="I3" i="5" s="1"/>
  <c r="K3" i="5" s="1"/>
  <c r="G9" i="4"/>
  <c r="G11" i="4" s="1"/>
  <c r="D6" i="5"/>
  <c r="I6" i="5" s="1"/>
  <c r="K6" i="5" s="1"/>
  <c r="B8" i="11"/>
  <c r="M4" i="3"/>
  <c r="D2" i="14" s="1"/>
  <c r="N2" i="3"/>
  <c r="N4" i="3" s="1"/>
  <c r="K2" i="5"/>
  <c r="E9" i="4"/>
  <c r="E11" i="4" s="1"/>
  <c r="D4" i="5"/>
  <c r="I4" i="5" s="1"/>
  <c r="K4" i="5" s="1"/>
  <c r="F9" i="4"/>
  <c r="F11" i="4" s="1"/>
  <c r="Q9" i="4"/>
  <c r="D3" i="12"/>
  <c r="J14" i="2"/>
  <c r="L14" i="2" s="1"/>
  <c r="J12" i="2"/>
  <c r="L12" i="2" s="1"/>
  <c r="J13" i="2"/>
  <c r="L13" i="2" s="1"/>
  <c r="B13" i="5"/>
  <c r="F13" i="5" s="1"/>
  <c r="F12" i="5"/>
  <c r="R12" i="2"/>
  <c r="J15" i="2" s="1"/>
  <c r="D9" i="12" s="1"/>
  <c r="J4" i="2"/>
  <c r="L4" i="2" s="1"/>
  <c r="F2" i="2" l="1"/>
  <c r="E28" i="17" s="1"/>
  <c r="L2" i="2"/>
  <c r="D3" i="13" s="1"/>
  <c r="G16" i="9"/>
  <c r="G21" i="9" s="1"/>
  <c r="F14" i="5"/>
  <c r="R9" i="4"/>
  <c r="B14" i="5"/>
  <c r="F13" i="4"/>
  <c r="V4" i="8"/>
  <c r="D2" i="12"/>
  <c r="D11" i="12" s="1"/>
  <c r="G13" i="4"/>
  <c r="V5" i="8"/>
  <c r="E13" i="4"/>
  <c r="N5" i="8"/>
  <c r="I11" i="4"/>
  <c r="D5" i="5"/>
  <c r="I5" i="5" s="1"/>
  <c r="E4" i="8"/>
  <c r="E5" i="8"/>
  <c r="E26" i="17"/>
  <c r="L16" i="2"/>
  <c r="D6" i="14" s="1"/>
  <c r="S9" i="4"/>
  <c r="D4" i="13"/>
  <c r="J2" i="2"/>
  <c r="Q8" i="12" l="1"/>
  <c r="S8" i="12" s="1"/>
  <c r="D2" i="13"/>
  <c r="O8" i="12" s="1"/>
  <c r="N6" i="8"/>
  <c r="O5" i="8"/>
  <c r="E6" i="8"/>
  <c r="I13" i="4"/>
  <c r="V6" i="8"/>
  <c r="W4" i="8" s="1"/>
  <c r="K5" i="5"/>
  <c r="K8" i="5" s="1"/>
  <c r="I8" i="5"/>
  <c r="W5" i="8"/>
  <c r="E33" i="17"/>
  <c r="D6" i="13"/>
  <c r="D5" i="13"/>
  <c r="J16" i="2"/>
  <c r="E24" i="17" s="1"/>
  <c r="E27" i="17" s="1"/>
  <c r="D9" i="13" l="1"/>
  <c r="D10" i="13" s="1"/>
  <c r="G10" i="11" s="1"/>
  <c r="E8" i="8"/>
  <c r="E12" i="8"/>
  <c r="E10" i="8"/>
  <c r="E9" i="8"/>
  <c r="E11" i="8"/>
  <c r="V12" i="8"/>
  <c r="V8" i="8"/>
  <c r="V9" i="8"/>
  <c r="V10" i="8"/>
  <c r="V11" i="8"/>
  <c r="D5" i="12"/>
  <c r="D6" i="12" s="1"/>
  <c r="D3" i="14"/>
  <c r="N10" i="8"/>
  <c r="N9" i="8"/>
  <c r="N11" i="8"/>
  <c r="N12" i="8"/>
  <c r="O4" i="8"/>
  <c r="N8" i="8"/>
  <c r="F4" i="8"/>
  <c r="F5" i="8"/>
  <c r="E35" i="17"/>
  <c r="E36" i="17"/>
  <c r="E32" i="17"/>
  <c r="E34" i="17"/>
  <c r="N7" i="8" l="1"/>
  <c r="N13" i="8" s="1"/>
  <c r="N14" i="8" s="1"/>
  <c r="N15" i="8" s="1"/>
  <c r="D12" i="12"/>
  <c r="F10" i="11" s="1"/>
  <c r="F8" i="11" s="1"/>
  <c r="V7" i="8"/>
  <c r="V13" i="8" s="1"/>
  <c r="V14" i="8" s="1"/>
  <c r="V15" i="8" s="1"/>
  <c r="E7" i="8"/>
  <c r="E13" i="8" s="1"/>
  <c r="E14" i="8" s="1"/>
  <c r="E15" i="8" s="1"/>
  <c r="C8" i="11" l="1"/>
  <c r="N20" i="8"/>
  <c r="N19" i="8"/>
  <c r="N18" i="8"/>
  <c r="N17" i="8"/>
  <c r="V19" i="8"/>
  <c r="V18" i="8"/>
  <c r="C9" i="11"/>
  <c r="V20" i="8"/>
  <c r="V17" i="8"/>
  <c r="E20" i="8"/>
  <c r="E19" i="8"/>
  <c r="E17" i="8"/>
  <c r="E18" i="8"/>
  <c r="V16" i="8" l="1"/>
  <c r="E16" i="8"/>
  <c r="E21" i="8" s="1"/>
  <c r="I9" i="11"/>
  <c r="N16" i="8"/>
  <c r="I8" i="11"/>
  <c r="C10" i="11"/>
  <c r="I6" i="11" l="1"/>
  <c r="G13" i="11"/>
  <c r="D8" i="11"/>
  <c r="N21" i="8"/>
  <c r="D4" i="14"/>
  <c r="E44" i="17"/>
  <c r="I5" i="11"/>
  <c r="I10" i="11"/>
  <c r="D9" i="11"/>
  <c r="V21" i="8"/>
  <c r="D5" i="14" l="1"/>
  <c r="E43" i="17"/>
  <c r="F9" i="11"/>
  <c r="G9" i="11" s="1"/>
  <c r="F5" i="11"/>
  <c r="D10" i="11"/>
  <c r="F6" i="11"/>
  <c r="G6" i="11" s="1"/>
  <c r="H6" i="11" l="1"/>
  <c r="J6" i="11" s="1"/>
  <c r="K6" i="11" s="1"/>
  <c r="L6" i="11" s="1"/>
  <c r="N6" i="11" s="1"/>
  <c r="F15" i="11"/>
  <c r="F17" i="11"/>
  <c r="G5" i="11"/>
  <c r="E10" i="11"/>
  <c r="G8" i="11"/>
  <c r="G15" i="11" s="1"/>
  <c r="H9" i="11"/>
  <c r="J9" i="11" s="1"/>
  <c r="K9" i="11" s="1"/>
  <c r="L9" i="11" s="1"/>
  <c r="E9" i="17" l="1"/>
  <c r="E13" i="17" s="1"/>
  <c r="N9" i="11"/>
  <c r="H8" i="11"/>
  <c r="H5" i="11"/>
  <c r="J5" i="11" s="1"/>
  <c r="K5" i="11" s="1"/>
  <c r="L5" i="11" s="1"/>
  <c r="N5" i="11" s="1"/>
  <c r="H10" i="11" l="1"/>
  <c r="J8" i="11"/>
  <c r="E21" i="17"/>
  <c r="E17" i="17"/>
  <c r="J10" i="11" l="1"/>
  <c r="K8" i="11"/>
  <c r="K10" i="11" s="1"/>
  <c r="D7" i="14" s="1"/>
  <c r="D8" i="14" s="1"/>
  <c r="L8" i="11" l="1"/>
  <c r="N8" i="11" s="1"/>
  <c r="L10" i="11" l="1"/>
  <c r="E10" i="17" s="1"/>
  <c r="E14" i="17" s="1"/>
  <c r="E8" i="17"/>
  <c r="E12" i="17" s="1"/>
  <c r="E16" i="17" s="1"/>
  <c r="E20" i="17" l="1"/>
</calcChain>
</file>

<file path=xl/sharedStrings.xml><?xml version="1.0" encoding="utf-8"?>
<sst xmlns="http://schemas.openxmlformats.org/spreadsheetml/2006/main" count="550" uniqueCount="325">
  <si>
    <t>№ п/п</t>
  </si>
  <si>
    <t>Наименование изделия</t>
  </si>
  <si>
    <t>Трудоемкость по группам оборудования</t>
  </si>
  <si>
    <t>Итого</t>
  </si>
  <si>
    <t>Изделие 2</t>
  </si>
  <si>
    <t>Трудоемккость на программу, нормо-час: Изделие 1</t>
  </si>
  <si>
    <t>Итого нормо-часов на программу</t>
  </si>
  <si>
    <t>Коэффициент выполнения норм</t>
  </si>
  <si>
    <t>Количество станко-часов на программу (п.3/п.4)</t>
  </si>
  <si>
    <t>Годовой действительный фонд времени работы оборудования</t>
  </si>
  <si>
    <t>Количество станков:</t>
  </si>
  <si>
    <t>а). Расчетное</t>
  </si>
  <si>
    <t>б). Принятое</t>
  </si>
  <si>
    <t>Коэффициент загрузки оборудования (п.7а/п.7б)</t>
  </si>
  <si>
    <t>Наименование основных средств</t>
  </si>
  <si>
    <t>Кол-во едениц или м^2</t>
  </si>
  <si>
    <t>Оптовая цена за единицу, тыс.руб.</t>
  </si>
  <si>
    <t>Коэффициент, учитывающий транспортировку и монтаж оборудования</t>
  </si>
  <si>
    <t>Полная стоимость единицы оборудования, тыс. руб.</t>
  </si>
  <si>
    <t>Полная стоимость группы основных средств, тыс.руб.</t>
  </si>
  <si>
    <t>Норма годовых отчислений, %</t>
  </si>
  <si>
    <t>Сумма амортизационных отчислений, тыс.руб.</t>
  </si>
  <si>
    <t>Трудоемкость на одно изделие, нормо-мин:  Изделие 1</t>
  </si>
  <si>
    <t>Подъемно-транспортное оборудование</t>
  </si>
  <si>
    <t>Приспособления, автоматизируемый инструмент</t>
  </si>
  <si>
    <t>Неамортизируемые основные средства</t>
  </si>
  <si>
    <t xml:space="preserve">   -</t>
  </si>
  <si>
    <t xml:space="preserve">  -</t>
  </si>
  <si>
    <t>Изделие</t>
  </si>
  <si>
    <t>Программа, тыс.шт.</t>
  </si>
  <si>
    <t>Цена 1т материала, тыс.руб.</t>
  </si>
  <si>
    <t>Норма расхода, кг</t>
  </si>
  <si>
    <t>Расход на программу, т</t>
  </si>
  <si>
    <t>Чистый вес изделия, кг</t>
  </si>
  <si>
    <t>Отходы на 1 изделие, кг</t>
  </si>
  <si>
    <t>Отходы на программу, т</t>
  </si>
  <si>
    <t>Затраты на материалы, тыс.руб.</t>
  </si>
  <si>
    <t xml:space="preserve"> Марка материала</t>
  </si>
  <si>
    <t>Цена отходов, тыс.руб. за вычетом отходов, тыс.руб.</t>
  </si>
  <si>
    <t>Стоимость отходов, тыс.руб.</t>
  </si>
  <si>
    <t>Затраты на материал за вычетом отходов, тыс.руб.</t>
  </si>
  <si>
    <t>Затраты на материал с учетом т з.р., тыс.руб.</t>
  </si>
  <si>
    <t>Итого:</t>
  </si>
  <si>
    <t>Показатели</t>
  </si>
  <si>
    <t xml:space="preserve">Трудоемкость по видам </t>
  </si>
  <si>
    <t>изделие 1</t>
  </si>
  <si>
    <t>изделие 2</t>
  </si>
  <si>
    <t>Здания, всего, в том числе:</t>
  </si>
  <si>
    <t xml:space="preserve"> -производственные; </t>
  </si>
  <si>
    <t xml:space="preserve"> -</t>
  </si>
  <si>
    <t>Годовая программа</t>
  </si>
  <si>
    <t xml:space="preserve"> -бытовые и административные</t>
  </si>
  <si>
    <t>Металлорежущие оборудования, всего, в том числе по моделям:</t>
  </si>
  <si>
    <t>Инвентраь автоматизуемый</t>
  </si>
  <si>
    <t xml:space="preserve">  - </t>
  </si>
  <si>
    <t>Оборудование</t>
  </si>
  <si>
    <t>Кол-во оборудования</t>
  </si>
  <si>
    <t>Сумма, тыс. руб</t>
  </si>
  <si>
    <t>Затраты,тыс. руб</t>
  </si>
  <si>
    <t>Сталь 40</t>
  </si>
  <si>
    <t>Сталь 45</t>
  </si>
  <si>
    <t>Трудоемкость на одно изделие, нормо-мин:</t>
  </si>
  <si>
    <t>Наименование</t>
  </si>
  <si>
    <t>Количество</t>
  </si>
  <si>
    <t>Установленная мощность, кВ/ч</t>
  </si>
  <si>
    <t>Коэф. загрузки оборудования по времени</t>
  </si>
  <si>
    <t>Годовой фонд работы оборудования</t>
  </si>
  <si>
    <t>Ср. коэф. мощности электродвигателя</t>
  </si>
  <si>
    <t>Коэф. выполнения норм</t>
  </si>
  <si>
    <t>Годовой расход эл.энерги</t>
  </si>
  <si>
    <t xml:space="preserve"> Тариф за 1 кв/т</t>
  </si>
  <si>
    <t>КПД электродвигателя</t>
  </si>
  <si>
    <t>Токарно-винторезный  165</t>
  </si>
  <si>
    <t>изделие  2</t>
  </si>
  <si>
    <t>Итого нормо-часов на годовую программу</t>
  </si>
  <si>
    <t>Коэффицент выполнения норм</t>
  </si>
  <si>
    <t>Итого чел/часов на годовую программу(п.3/п.4)</t>
  </si>
  <si>
    <t>Годовой фонд времени одного рабочего</t>
  </si>
  <si>
    <t>Численность рабочих:</t>
  </si>
  <si>
    <t>а) расчетная (п.5/п.6)</t>
  </si>
  <si>
    <t>б) принятая</t>
  </si>
  <si>
    <t>Здания/помещения</t>
  </si>
  <si>
    <t>производственные</t>
  </si>
  <si>
    <t>бытовые и административные</t>
  </si>
  <si>
    <t>Площадь, м2</t>
  </si>
  <si>
    <t>Высота, м</t>
  </si>
  <si>
    <t>Расход тепловой энергии</t>
  </si>
  <si>
    <t>Тариф, руб/Гкал</t>
  </si>
  <si>
    <t>Затраты на тепловую энергию, тыс.руб</t>
  </si>
  <si>
    <t>Затраты на эл.энергию для произв.целей, тыс.руб</t>
  </si>
  <si>
    <t>Фрезерные работы 3-го разряда</t>
  </si>
  <si>
    <t>Трудоемкость на одно изделие, нормо-часы:</t>
  </si>
  <si>
    <t>Профессия</t>
  </si>
  <si>
    <t>Количество основных рабочих в подразделения, человек</t>
  </si>
  <si>
    <t>до 100</t>
  </si>
  <si>
    <t>Наладчики оборудования</t>
  </si>
  <si>
    <t>Кладовщики производственных кладовых</t>
  </si>
  <si>
    <t>Транспортные рабочие</t>
  </si>
  <si>
    <t>Кладовщики и раздатчики инструмента</t>
  </si>
  <si>
    <t>Слесари и станочники по ремонту оборудования</t>
  </si>
  <si>
    <t>Распределители работ</t>
  </si>
  <si>
    <t>отходы на 1м2 в смену</t>
  </si>
  <si>
    <t>Уборщик</t>
  </si>
  <si>
    <t>Дежурный слесарь</t>
  </si>
  <si>
    <t>Дежурный электрик</t>
  </si>
  <si>
    <t>Наименование оборудования</t>
  </si>
  <si>
    <t>Категории ремонтной сложности е.р.с</t>
  </si>
  <si>
    <t>Механической части</t>
  </si>
  <si>
    <t>Электрической части</t>
  </si>
  <si>
    <t>ИТР</t>
  </si>
  <si>
    <t>Должность</t>
  </si>
  <si>
    <t>Подразделение</t>
  </si>
  <si>
    <t>Подразделения с числом рабочих до</t>
  </si>
  <si>
    <t>Руководство</t>
  </si>
  <si>
    <t>Начальник</t>
  </si>
  <si>
    <t>Старший диспетчер</t>
  </si>
  <si>
    <t>Диспетчер</t>
  </si>
  <si>
    <t>Технологическое бюро</t>
  </si>
  <si>
    <t>Инженер-технолог 2-й категории</t>
  </si>
  <si>
    <t>Инженер-технолог</t>
  </si>
  <si>
    <t>Начальник БТЗ</t>
  </si>
  <si>
    <t>Инженер по нормированию труда</t>
  </si>
  <si>
    <t>Экономическое</t>
  </si>
  <si>
    <t>бюро</t>
  </si>
  <si>
    <t>Экономист 1-й категории</t>
  </si>
  <si>
    <t>Механик</t>
  </si>
  <si>
    <t>Энергетик</t>
  </si>
  <si>
    <t>См. мастер</t>
  </si>
  <si>
    <t>итр и служ</t>
  </si>
  <si>
    <t>Штатное расписание</t>
  </si>
  <si>
    <t>Осн. Раб</t>
  </si>
  <si>
    <t>Вспом. Раб</t>
  </si>
  <si>
    <t>Элементы расчета</t>
  </si>
  <si>
    <t>Кол-во нормо-часов</t>
  </si>
  <si>
    <t>Сумма, тыс.руб.</t>
  </si>
  <si>
    <t>Доля прямой заработной платы, %</t>
  </si>
  <si>
    <t>Прямая сдельная заработная плата, по разрядам:</t>
  </si>
  <si>
    <t>2-й разряд</t>
  </si>
  <si>
    <t>3-й разряд</t>
  </si>
  <si>
    <t>Итого фонд прямой заработной платы (по тарифу)</t>
  </si>
  <si>
    <t>Доплаты до часового фонда:</t>
  </si>
  <si>
    <t>а) за работу в ночные часы</t>
  </si>
  <si>
    <t>б) за неосвобожденное бригадирство</t>
  </si>
  <si>
    <t>в) за обучение учеников</t>
  </si>
  <si>
    <t>г) премии из фонда мастера</t>
  </si>
  <si>
    <t>расчет</t>
  </si>
  <si>
    <t>Премии по положению</t>
  </si>
  <si>
    <t>Итого часовой фонд (п.2 + п.3 + п.4)</t>
  </si>
  <si>
    <t>Районный коэффициент (15% от часового фонда)</t>
  </si>
  <si>
    <t>Основная заработная плата (п.5 + п.6)</t>
  </si>
  <si>
    <t>Доплаты за неотработанное время (дополнительная заработная плата):</t>
  </si>
  <si>
    <t>а) подросткам за сокращенный рабочий день</t>
  </si>
  <si>
    <t>в) оплата отпусков</t>
  </si>
  <si>
    <t>г) за выполнение гособязанностей</t>
  </si>
  <si>
    <t>д) прочие доплаты</t>
  </si>
  <si>
    <t>Итого годовой фонд (п.7 + п.8)</t>
  </si>
  <si>
    <t>Тарифная ставка, руб</t>
  </si>
  <si>
    <t>Кол-во рабочих, чел.</t>
  </si>
  <si>
    <t>Фонд времени рабочего, ч</t>
  </si>
  <si>
    <t>Кол-во человеко-часов</t>
  </si>
  <si>
    <t>Часовая тарифная ставка, руб.</t>
  </si>
  <si>
    <t>Сумма, тыс. руб.</t>
  </si>
  <si>
    <t>Доля прямой заработной платы, руб.</t>
  </si>
  <si>
    <t>Прямая повременная заработная плата по разрядам:</t>
  </si>
  <si>
    <t>Итого тарифный (прямой) фонд оплаты труда</t>
  </si>
  <si>
    <t>4-й разряд</t>
  </si>
  <si>
    <t>разряд</t>
  </si>
  <si>
    <t>основные рабочие</t>
  </si>
  <si>
    <t>категория</t>
  </si>
  <si>
    <t>кол-во</t>
  </si>
  <si>
    <t>% премии</t>
  </si>
  <si>
    <t>район.коэф</t>
  </si>
  <si>
    <t>месячный фонд ОТ</t>
  </si>
  <si>
    <t>годовой фонд ОТ</t>
  </si>
  <si>
    <t>оклад, тыс. руб</t>
  </si>
  <si>
    <t>оклад+премия</t>
  </si>
  <si>
    <t>Номер изделия</t>
  </si>
  <si>
    <t>Затраты на основ. материалы за вычетом отходов</t>
  </si>
  <si>
    <t>Зарплата основных рабочих</t>
  </si>
  <si>
    <t>Взносы на социальное страхование</t>
  </si>
  <si>
    <t>Общепроизводственные расходы</t>
  </si>
  <si>
    <t>Цеховая себестоимость гр.1+2+3+5+6</t>
  </si>
  <si>
    <t>Общехозяйственные расходы</t>
  </si>
  <si>
    <t>Производственная себестоимость</t>
  </si>
  <si>
    <t>гр.7+8</t>
  </si>
  <si>
    <t>Коммерческие расходы</t>
  </si>
  <si>
    <t>Полная себестоимость гр. 9+10</t>
  </si>
  <si>
    <t>основная</t>
  </si>
  <si>
    <t>дополнительная</t>
  </si>
  <si>
    <t>РСЭО</t>
  </si>
  <si>
    <t>Цеховые</t>
  </si>
  <si>
    <t>на 1 изделие, руб.</t>
  </si>
  <si>
    <t>1.</t>
  </si>
  <si>
    <t>2.</t>
  </si>
  <si>
    <t>на годовую программу, тыс. руб.</t>
  </si>
  <si>
    <t>Итого на годовой выпуск</t>
  </si>
  <si>
    <t>Наименование статей расходов</t>
  </si>
  <si>
    <t>Содержание расходов и способы их определения</t>
  </si>
  <si>
    <t>Амортизационные отчисления оборудования, транспортных средств, инструментов и приспособлений</t>
  </si>
  <si>
    <t>По данным Таблицы 6</t>
  </si>
  <si>
    <t>Затраты на ремонт оборудования</t>
  </si>
  <si>
    <t>Принять в размере 3% от полной стоимости металлорежущего оборудования</t>
  </si>
  <si>
    <t>Эксплуатация оборудования (кроме расходов на текущий ремонт)</t>
  </si>
  <si>
    <t>Энергия для производственных целей:</t>
  </si>
  <si>
    <t>а) затраты на силовую энергию;</t>
  </si>
  <si>
    <t>б) затраты на сжатый воздух, воду, пар для производственных целей (принять 10% от затрат на электроэнергию для производственных целей);</t>
  </si>
  <si>
    <t>в) затраты на вспомогательные материалы (прил. 7), необходимые для ухода за оборудованием и содержанием его в работоспособном состоянии;</t>
  </si>
  <si>
    <t>г) основная и дополнительная заработная плата вспомогательных рабочих, обслуживающих оборудование (наладчиков, смазчиков, слесарей и др.) с учетом взносов на социальное страхование</t>
  </si>
  <si>
    <t>Расход неамортизируемых основных средств (инструментов и приспособлений)</t>
  </si>
  <si>
    <t>Внутризаводские перемещения грузов</t>
  </si>
  <si>
    <t>0,5% от суммы статей 1.1 – 1.3</t>
  </si>
  <si>
    <t>Прочие расходы</t>
  </si>
  <si>
    <t>0,5% от суммы статей 1.1 – 1.5</t>
  </si>
  <si>
    <t>ИТОГО:</t>
  </si>
  <si>
    <t xml:space="preserve">Сумма </t>
  </si>
  <si>
    <t>Крсэо</t>
  </si>
  <si>
    <t>Содержание цехового персонала</t>
  </si>
  <si>
    <t>Основная и дополнительная заработная плата с учетом взносов на социальное страхование персонала управления цеха, специалистов, служащих и вспомогательных рабочих, не связанных с обслуживанием оборудования</t>
  </si>
  <si>
    <t>Амортизационные отчисления зданий, сооружений и инвентаря</t>
  </si>
  <si>
    <t>Содержание зданий, сооружений и инвентаря</t>
  </si>
  <si>
    <t>а) затраты на отопление;</t>
  </si>
  <si>
    <t>б) прочие затраты – 0,5% от полной стоимости зданий</t>
  </si>
  <si>
    <t>Ремонт зданий, сооружений и инвентаря</t>
  </si>
  <si>
    <t>1,5% от полной стоимости зданий, сооружений и инвентаря</t>
  </si>
  <si>
    <t>Испытания, опыты, исследования, рационализаторство, изобретательство</t>
  </si>
  <si>
    <t>400 рублей на одного работающего</t>
  </si>
  <si>
    <t>Охрана труда</t>
  </si>
  <si>
    <t>350 рублей на одного работающего</t>
  </si>
  <si>
    <t>5% от суммы статей 2.1 – 2.5</t>
  </si>
  <si>
    <t>Сумма</t>
  </si>
  <si>
    <t>итого</t>
  </si>
  <si>
    <t>Кцех</t>
  </si>
  <si>
    <t>Элементы затрат</t>
  </si>
  <si>
    <t>Содержание затрат</t>
  </si>
  <si>
    <t>Абсолютная величина, тыс. руб.</t>
  </si>
  <si>
    <t>Материальные затраты</t>
  </si>
  <si>
    <t>Топливо, энергия</t>
  </si>
  <si>
    <t>3.</t>
  </si>
  <si>
    <t>Оплата труда</t>
  </si>
  <si>
    <t>4.</t>
  </si>
  <si>
    <t>5.</t>
  </si>
  <si>
    <t xml:space="preserve">Амортизационные отчисления </t>
  </si>
  <si>
    <t>6.</t>
  </si>
  <si>
    <t>ИТОГО</t>
  </si>
  <si>
    <t>Цена за 1 шт</t>
  </si>
  <si>
    <t>Кол-во в год</t>
  </si>
  <si>
    <t>Объем товарной продукции, тыс.руб.</t>
  </si>
  <si>
    <t>Приложение 15</t>
  </si>
  <si>
    <t>Всего по предприятию</t>
  </si>
  <si>
    <t>Единицы измерения</t>
  </si>
  <si>
    <t>Источник информации</t>
  </si>
  <si>
    <t>Абсолютная величина</t>
  </si>
  <si>
    <t>Годовой объем товарной продукции в плановых ценах</t>
  </si>
  <si>
    <t>тыс. руб.</t>
  </si>
  <si>
    <t>Себестоимость:</t>
  </si>
  <si>
    <t>Прибыль от реализации</t>
  </si>
  <si>
    <t>тыс. руб</t>
  </si>
  <si>
    <t>Рентабельность затрат</t>
  </si>
  <si>
    <t>%</t>
  </si>
  <si>
    <t>Рентабельность продаж</t>
  </si>
  <si>
    <t>Использование основных фондов</t>
  </si>
  <si>
    <t>Полная стоимость основных средств,</t>
  </si>
  <si>
    <t>в том числе:</t>
  </si>
  <si>
    <t>Общая площадь, в том числе: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</si>
  <si>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</si>
  <si>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Количество основного оборудования</t>
  </si>
  <si>
    <t>шт</t>
  </si>
  <si>
    <t>Фондоотдача, всего</t>
  </si>
  <si>
    <t>в т.ч. активной части</t>
  </si>
  <si>
    <t>Фондоемкость</t>
  </si>
  <si>
    <t>Фондовооруженность</t>
  </si>
  <si>
    <t>тыс. руб./чел.</t>
  </si>
  <si>
    <t>Коэффициент экстенсивного использования оборудования</t>
  </si>
  <si>
    <t>-</t>
  </si>
  <si>
    <t>Использование трудовых ресурсов</t>
  </si>
  <si>
    <t>Производительность труда</t>
  </si>
  <si>
    <t>Среднемесячная заработная плата</t>
  </si>
  <si>
    <t>тыс.руб.</t>
  </si>
  <si>
    <t>Материалы</t>
  </si>
  <si>
    <t>Ед.</t>
  </si>
  <si>
    <t>Расчетная единица</t>
  </si>
  <si>
    <t>Норма расхода на расчетную единицу</t>
  </si>
  <si>
    <t>Примерная цена за 1 кг, руб.</t>
  </si>
  <si>
    <t>сумма, тыс.руб.</t>
  </si>
  <si>
    <t>измер</t>
  </si>
  <si>
    <t>Отборочные материалы (концы)</t>
  </si>
  <si>
    <t>кг</t>
  </si>
  <si>
    <t>станок</t>
  </si>
  <si>
    <t>То же</t>
  </si>
  <si>
    <t>слесарь производственный</t>
  </si>
  <si>
    <t>слесарь по ремонту</t>
  </si>
  <si>
    <t>Керосин</t>
  </si>
  <si>
    <t>л</t>
  </si>
  <si>
    <t>Бензин</t>
  </si>
  <si>
    <t>Солидол</t>
  </si>
  <si>
    <t>Масло машинное</t>
  </si>
  <si>
    <t>Масло веретенное</t>
  </si>
  <si>
    <t>шлифовальный станок</t>
  </si>
  <si>
    <t xml:space="preserve">  доля активной части</t>
  </si>
  <si>
    <t>Фондовооруженность рабочих</t>
  </si>
  <si>
    <t xml:space="preserve"> </t>
  </si>
  <si>
    <t>–        1 изделия</t>
  </si>
  <si>
    <t>–        2 изделия</t>
  </si>
  <si>
    <t>–        товарного выпуска</t>
  </si>
  <si>
    <t>–        работающих</t>
  </si>
  <si>
    <t>–        основных рабочих</t>
  </si>
  <si>
    <t>-        активной части</t>
  </si>
  <si>
    <t>-        производственная,</t>
  </si>
  <si>
    <t>-        служебно-бытовая</t>
  </si>
  <si>
    <t>Табл. 4</t>
  </si>
  <si>
    <t>Табл. 7</t>
  </si>
  <si>
    <t>Расчет</t>
  </si>
  <si>
    <t>Табл. 10</t>
  </si>
  <si>
    <t xml:space="preserve">Табл. 2 </t>
  </si>
  <si>
    <t>Табл. 3</t>
  </si>
  <si>
    <t>Шлицешлифовальный3451В</t>
  </si>
  <si>
    <t>Отрезная пила8642</t>
  </si>
  <si>
    <t>Зубозакругляющий55580</t>
  </si>
  <si>
    <t>фрезерные 2разряд</t>
  </si>
  <si>
    <t>Шлифовальные 3</t>
  </si>
  <si>
    <t>Отрезные 3</t>
  </si>
  <si>
    <t>фрезерные 2</t>
  </si>
  <si>
    <t>Фрезерные 2</t>
  </si>
  <si>
    <t>Зубофрезерный 5А312</t>
  </si>
  <si>
    <t>Зубофрезерный5а312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</si>
</sst>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.0\ _₽_-;\-* #,##0.0\ _₽_-;_-* &quot;-&quot;??\ _₽_-;_-@_-"/>
    <numFmt numFmtId="165" formatCode="0.0"/>
    <numFmt numFmtId="166" formatCode="_-* #,##0.00\ _р_._-;\-* #,##0.00\ _р_._-;_-* &quot;-&quot;??\ _р_._-;_-@_-"/>
    <numFmt numFmtId="167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8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43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3" fillId="0" borderId="1" xfId="0" applyFont="1" applyBorder="1"/>
    <xf numFmtId="2" fontId="1" fillId="0" borderId="0" xfId="0" applyNumberFormat="1" applyFont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0" fillId="2" borderId="0" xfId="0" applyFill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1"/>
    </xf>
    <xf numFmtId="0" fontId="0" fillId="0" borderId="1" xfId="0" applyBorder="1" applyAlignment="1">
      <alignment vertical="top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" fontId="1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167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2" fontId="1" fillId="0" borderId="6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5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indent="5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1" fontId="1" fillId="0" borderId="5" xfId="0" applyNumberFormat="1" applyFont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0" fillId="0" borderId="0" xfId="1" applyNumberFormat="1" applyFont="1"/>
    <xf numFmtId="165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152400</xdr:rowOff>
    </xdr:from>
    <xdr:to>
      <xdr:col>0</xdr:col>
      <xdr:colOff>400050</xdr:colOff>
      <xdr:row>6</xdr:row>
      <xdr:rowOff>57150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0" y="2190750"/>
          <a:ext cx="400050" cy="3143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vert="vert" wrap="square" lIns="91440" tIns="45720" rIns="91440" bIns="45720" anchor="b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70" zoomScaleNormal="70" workbookViewId="0">
      <selection activeCell="A2" sqref="A2:K16"/>
    </sheetView>
  </sheetViews>
  <sheetFormatPr defaultRowHeight="15" x14ac:dyDescent="0.25"/>
  <cols>
    <col min="3" max="3" width="9.140625" customWidth="1"/>
    <col min="5" max="5" width="11" customWidth="1"/>
    <col min="6" max="6" width="10.7109375" customWidth="1"/>
    <col min="7" max="8" width="10.28515625" customWidth="1"/>
    <col min="9" max="9" width="11" customWidth="1"/>
    <col min="10" max="10" width="10.5703125" customWidth="1"/>
    <col min="15" max="15" width="10.5703125" customWidth="1"/>
    <col min="16" max="16" width="10.7109375" customWidth="1"/>
  </cols>
  <sheetData>
    <row r="1" spans="1:16" ht="15.75" x14ac:dyDescent="0.25">
      <c r="A1" s="108" t="s">
        <v>0</v>
      </c>
      <c r="B1" s="163" t="s">
        <v>1</v>
      </c>
      <c r="C1" s="164"/>
      <c r="D1" s="165"/>
      <c r="E1" s="163" t="s">
        <v>2</v>
      </c>
      <c r="F1" s="164"/>
      <c r="G1" s="164"/>
      <c r="H1" s="164"/>
      <c r="I1" s="164"/>
      <c r="J1" s="164"/>
      <c r="K1" s="165"/>
      <c r="L1" s="6"/>
    </row>
    <row r="2" spans="1:16" ht="70.5" customHeight="1" x14ac:dyDescent="0.25">
      <c r="A2" s="118"/>
      <c r="B2" s="120"/>
      <c r="C2" s="121"/>
      <c r="D2" s="122"/>
      <c r="E2" s="114" t="s">
        <v>323</v>
      </c>
      <c r="F2" s="116" t="s">
        <v>315</v>
      </c>
      <c r="G2" s="116" t="s">
        <v>316</v>
      </c>
      <c r="H2" s="114" t="s">
        <v>72</v>
      </c>
      <c r="I2" s="116" t="s">
        <v>317</v>
      </c>
      <c r="J2" s="116" t="s">
        <v>324</v>
      </c>
      <c r="K2" s="108" t="s">
        <v>3</v>
      </c>
    </row>
    <row r="3" spans="1:16" ht="15.75" x14ac:dyDescent="0.25">
      <c r="A3" s="119"/>
      <c r="B3" s="123"/>
      <c r="C3" s="124"/>
      <c r="D3" s="125"/>
      <c r="E3" s="115"/>
      <c r="F3" s="117"/>
      <c r="G3" s="117"/>
      <c r="H3" s="115"/>
      <c r="I3" s="117"/>
      <c r="J3" s="117"/>
      <c r="K3" s="108"/>
    </row>
    <row r="4" spans="1:16" ht="15.75" x14ac:dyDescent="0.25">
      <c r="A4" s="108">
        <v>1</v>
      </c>
      <c r="B4" s="163">
        <v>2</v>
      </c>
      <c r="C4" s="164"/>
      <c r="D4" s="165"/>
      <c r="E4" s="108">
        <v>3</v>
      </c>
      <c r="F4" s="108">
        <v>4</v>
      </c>
      <c r="G4" s="108">
        <v>5</v>
      </c>
      <c r="H4" s="108">
        <v>6</v>
      </c>
      <c r="I4" s="108">
        <v>7</v>
      </c>
      <c r="J4" s="108">
        <v>8</v>
      </c>
      <c r="K4" s="108">
        <v>9</v>
      </c>
    </row>
    <row r="5" spans="1:16" ht="49.5" customHeight="1" x14ac:dyDescent="0.25">
      <c r="A5" s="108">
        <v>1</v>
      </c>
      <c r="B5" s="127" t="s">
        <v>22</v>
      </c>
      <c r="C5" s="128"/>
      <c r="D5" s="129"/>
      <c r="E5" s="108">
        <v>2</v>
      </c>
      <c r="F5" s="108">
        <v>12</v>
      </c>
      <c r="G5" s="108">
        <v>11</v>
      </c>
      <c r="H5" s="108" t="s">
        <v>26</v>
      </c>
      <c r="I5" s="108" t="s">
        <v>27</v>
      </c>
      <c r="J5" s="108" t="s">
        <v>27</v>
      </c>
      <c r="K5" s="108">
        <f>SUM(E5:G5)</f>
        <v>25</v>
      </c>
      <c r="O5" s="112" t="s">
        <v>50</v>
      </c>
      <c r="P5" s="112"/>
    </row>
    <row r="6" spans="1:16" ht="15.75" x14ac:dyDescent="0.25">
      <c r="A6" s="108"/>
      <c r="B6" s="160" t="s">
        <v>4</v>
      </c>
      <c r="C6" s="161"/>
      <c r="D6" s="162"/>
      <c r="E6" s="108" t="s">
        <v>27</v>
      </c>
      <c r="F6" s="108" t="s">
        <v>27</v>
      </c>
      <c r="G6" s="108" t="s">
        <v>27</v>
      </c>
      <c r="H6" s="110">
        <v>3</v>
      </c>
      <c r="I6" s="110">
        <v>19</v>
      </c>
      <c r="J6" s="110">
        <v>9</v>
      </c>
      <c r="K6" s="108">
        <f>SUM(H6:J6)</f>
        <v>31</v>
      </c>
      <c r="O6" s="8" t="s">
        <v>45</v>
      </c>
      <c r="P6" s="11">
        <v>70000</v>
      </c>
    </row>
    <row r="7" spans="1:16" ht="47.25" customHeight="1" x14ac:dyDescent="0.25">
      <c r="A7" s="108">
        <v>2</v>
      </c>
      <c r="B7" s="127" t="s">
        <v>5</v>
      </c>
      <c r="C7" s="128"/>
      <c r="D7" s="129"/>
      <c r="E7" s="168">
        <f>E5*P6/60</f>
        <v>2333.3333333333335</v>
      </c>
      <c r="F7" s="108">
        <f>F5*P6/60</f>
        <v>14000</v>
      </c>
      <c r="G7" s="108">
        <f>G5*P6/60</f>
        <v>12833.333333333334</v>
      </c>
      <c r="H7" s="108" t="s">
        <v>27</v>
      </c>
      <c r="I7" s="108" t="s">
        <v>27</v>
      </c>
      <c r="J7" s="108" t="s">
        <v>27</v>
      </c>
      <c r="K7" s="108">
        <f>SUM(E7:J7)</f>
        <v>29166.666666666668</v>
      </c>
      <c r="O7" s="8" t="s">
        <v>46</v>
      </c>
      <c r="P7" s="8">
        <v>60000</v>
      </c>
    </row>
    <row r="8" spans="1:16" ht="15.75" x14ac:dyDescent="0.25">
      <c r="A8" s="108"/>
      <c r="B8" s="131" t="s">
        <v>4</v>
      </c>
      <c r="C8" s="132"/>
      <c r="D8" s="133"/>
      <c r="E8" s="108" t="s">
        <v>27</v>
      </c>
      <c r="F8" s="108" t="s">
        <v>27</v>
      </c>
      <c r="G8" s="108" t="s">
        <v>27</v>
      </c>
      <c r="H8" s="108">
        <f>H6*P7/60</f>
        <v>3000</v>
      </c>
      <c r="I8" s="108">
        <f>I6*P7/60</f>
        <v>19000</v>
      </c>
      <c r="J8" s="108">
        <f>J6*P7/60</f>
        <v>9000</v>
      </c>
      <c r="K8" s="108">
        <f>SUM(H8:J8)</f>
        <v>31000</v>
      </c>
    </row>
    <row r="9" spans="1:16" ht="35.25" customHeight="1" x14ac:dyDescent="0.25">
      <c r="A9" s="108">
        <v>3</v>
      </c>
      <c r="B9" s="127" t="s">
        <v>6</v>
      </c>
      <c r="C9" s="128"/>
      <c r="D9" s="129"/>
      <c r="E9" s="168">
        <f>E7</f>
        <v>2333.3333333333335</v>
      </c>
      <c r="F9" s="108">
        <f>F7</f>
        <v>14000</v>
      </c>
      <c r="G9" s="108">
        <f>G7</f>
        <v>12833.333333333334</v>
      </c>
      <c r="H9" s="108">
        <f>H8</f>
        <v>3000</v>
      </c>
      <c r="I9" s="108">
        <f>I8</f>
        <v>19000</v>
      </c>
      <c r="J9" s="108">
        <f>J8</f>
        <v>9000</v>
      </c>
      <c r="K9" s="108">
        <f>SUM(E9:J9)</f>
        <v>60166.666666666672</v>
      </c>
    </row>
    <row r="10" spans="1:16" ht="31.5" customHeight="1" x14ac:dyDescent="0.25">
      <c r="A10" s="108">
        <v>4</v>
      </c>
      <c r="B10" s="127" t="s">
        <v>7</v>
      </c>
      <c r="C10" s="128"/>
      <c r="D10" s="129"/>
      <c r="E10" s="108">
        <v>1.1000000000000001</v>
      </c>
      <c r="F10" s="108">
        <v>1.1000000000000001</v>
      </c>
      <c r="G10" s="108">
        <v>1.1000000000000001</v>
      </c>
      <c r="H10" s="108">
        <v>1.1000000000000001</v>
      </c>
      <c r="I10" s="108">
        <v>1.1000000000000001</v>
      </c>
      <c r="J10" s="108">
        <v>1.1000000000000001</v>
      </c>
      <c r="K10" s="108">
        <v>1.1000000000000001</v>
      </c>
    </row>
    <row r="11" spans="1:16" ht="33.75" customHeight="1" x14ac:dyDescent="0.25">
      <c r="A11" s="108">
        <v>5</v>
      </c>
      <c r="B11" s="127" t="s">
        <v>8</v>
      </c>
      <c r="C11" s="128"/>
      <c r="D11" s="129"/>
      <c r="E11" s="168">
        <f t="shared" ref="E11:K11" si="0">E9/E10</f>
        <v>2121.212121212121</v>
      </c>
      <c r="F11" s="108">
        <f t="shared" si="0"/>
        <v>12727.272727272726</v>
      </c>
      <c r="G11" s="108">
        <f t="shared" si="0"/>
        <v>11666.666666666666</v>
      </c>
      <c r="H11" s="9">
        <f t="shared" si="0"/>
        <v>2727.272727272727</v>
      </c>
      <c r="I11" s="9">
        <f t="shared" si="0"/>
        <v>17272.727272727272</v>
      </c>
      <c r="J11" s="108">
        <f t="shared" si="0"/>
        <v>8181.8181818181811</v>
      </c>
      <c r="K11" s="108">
        <f t="shared" si="0"/>
        <v>54696.969696969696</v>
      </c>
    </row>
    <row r="12" spans="1:16" ht="51.75" customHeight="1" x14ac:dyDescent="0.25">
      <c r="A12" s="108">
        <v>6</v>
      </c>
      <c r="B12" s="127" t="s">
        <v>9</v>
      </c>
      <c r="C12" s="128"/>
      <c r="D12" s="129"/>
      <c r="E12" s="108">
        <v>3880</v>
      </c>
      <c r="F12" s="108">
        <v>3880</v>
      </c>
      <c r="G12" s="108">
        <v>3880</v>
      </c>
      <c r="H12" s="108">
        <v>3880</v>
      </c>
      <c r="I12" s="108">
        <v>3880</v>
      </c>
      <c r="J12" s="108">
        <v>3880</v>
      </c>
      <c r="K12" s="108">
        <v>3880</v>
      </c>
    </row>
    <row r="13" spans="1:16" ht="15.75" x14ac:dyDescent="0.25">
      <c r="A13" s="108">
        <v>7</v>
      </c>
      <c r="B13" s="131" t="s">
        <v>10</v>
      </c>
      <c r="C13" s="132"/>
      <c r="D13" s="133"/>
      <c r="E13" s="3"/>
      <c r="F13" s="3"/>
      <c r="G13" s="3"/>
      <c r="H13" s="3"/>
      <c r="I13" s="3"/>
      <c r="J13" s="3"/>
      <c r="K13" s="3"/>
    </row>
    <row r="14" spans="1:16" ht="15.75" x14ac:dyDescent="0.25">
      <c r="A14" s="108"/>
      <c r="B14" s="131" t="s">
        <v>11</v>
      </c>
      <c r="C14" s="132"/>
      <c r="D14" s="133"/>
      <c r="E14" s="9">
        <f>E11/E12</f>
        <v>0.54670415495157754</v>
      </c>
      <c r="F14" s="9">
        <f>F11/F12</f>
        <v>3.2802249297094654</v>
      </c>
      <c r="G14" s="9">
        <f t="shared" ref="G14:J14" si="1">G11/G12</f>
        <v>3.006872852233677</v>
      </c>
      <c r="H14" s="9">
        <f t="shared" si="1"/>
        <v>0.70290534208059974</v>
      </c>
      <c r="I14" s="9">
        <f t="shared" si="1"/>
        <v>4.4517338331771317</v>
      </c>
      <c r="J14" s="9">
        <f t="shared" si="1"/>
        <v>2.1087160262417992</v>
      </c>
      <c r="K14" s="9">
        <f>K11/K12</f>
        <v>14.097157138394252</v>
      </c>
    </row>
    <row r="15" spans="1:16" ht="15.75" x14ac:dyDescent="0.25">
      <c r="A15" s="108"/>
      <c r="B15" s="131" t="s">
        <v>12</v>
      </c>
      <c r="C15" s="132"/>
      <c r="D15" s="133"/>
      <c r="E15" s="108">
        <v>1</v>
      </c>
      <c r="F15" s="108">
        <v>4</v>
      </c>
      <c r="G15" s="108">
        <v>3</v>
      </c>
      <c r="H15" s="108">
        <v>1</v>
      </c>
      <c r="I15" s="108">
        <v>5</v>
      </c>
      <c r="J15" s="108">
        <v>2</v>
      </c>
      <c r="K15" s="108">
        <f>SUM(E15:J15)</f>
        <v>16</v>
      </c>
      <c r="N15">
        <f>E15+F15+G15+H15+I15+J15</f>
        <v>16</v>
      </c>
    </row>
    <row r="16" spans="1:16" ht="39.75" customHeight="1" x14ac:dyDescent="0.25">
      <c r="A16" s="108">
        <v>8</v>
      </c>
      <c r="B16" s="127" t="s">
        <v>13</v>
      </c>
      <c r="C16" s="128"/>
      <c r="D16" s="129"/>
      <c r="E16" s="167">
        <f t="shared" ref="E16:J16" si="2">E14/E15</f>
        <v>0.54670415495157754</v>
      </c>
      <c r="F16" s="167">
        <f t="shared" si="2"/>
        <v>0.82005623242736636</v>
      </c>
      <c r="G16" s="9">
        <f t="shared" si="2"/>
        <v>1.002290950744559</v>
      </c>
      <c r="H16" s="9">
        <f t="shared" si="2"/>
        <v>0.70290534208059974</v>
      </c>
      <c r="I16" s="167">
        <f t="shared" si="2"/>
        <v>0.89034676663542633</v>
      </c>
      <c r="J16" s="167">
        <f t="shared" si="2"/>
        <v>1.0543580131208996</v>
      </c>
      <c r="K16" s="167">
        <f>K14/K15</f>
        <v>0.88107232114964074</v>
      </c>
    </row>
    <row r="29" spans="11:11" x14ac:dyDescent="0.25">
      <c r="K29" s="166"/>
    </row>
  </sheetData>
  <mergeCells count="24">
    <mergeCell ref="B9:D9"/>
    <mergeCell ref="O5:P5"/>
    <mergeCell ref="B16:D16"/>
    <mergeCell ref="A2:A3"/>
    <mergeCell ref="B2:D3"/>
    <mergeCell ref="B14:D14"/>
    <mergeCell ref="B15:D15"/>
    <mergeCell ref="J2:J3"/>
    <mergeCell ref="E1:K1"/>
    <mergeCell ref="B10:D10"/>
    <mergeCell ref="B11:D11"/>
    <mergeCell ref="B12:D12"/>
    <mergeCell ref="B13:D13"/>
    <mergeCell ref="B1:D1"/>
    <mergeCell ref="B4:D4"/>
    <mergeCell ref="B5:D5"/>
    <mergeCell ref="B6:D6"/>
    <mergeCell ref="B7:D7"/>
    <mergeCell ref="B8:D8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F13" sqref="F13"/>
    </sheetView>
  </sheetViews>
  <sheetFormatPr defaultRowHeight="15" x14ac:dyDescent="0.25"/>
  <cols>
    <col min="1" max="2" width="9.140625" customWidth="1"/>
    <col min="3" max="3" width="10" customWidth="1"/>
    <col min="4" max="12" width="13.140625" bestFit="1" customWidth="1"/>
  </cols>
  <sheetData>
    <row r="1" spans="1:14" ht="63" x14ac:dyDescent="0.25">
      <c r="A1" s="130" t="s">
        <v>176</v>
      </c>
      <c r="B1" s="130" t="s">
        <v>177</v>
      </c>
      <c r="C1" s="130" t="s">
        <v>178</v>
      </c>
      <c r="D1" s="130"/>
      <c r="E1" s="130" t="s">
        <v>179</v>
      </c>
      <c r="F1" s="130" t="s">
        <v>180</v>
      </c>
      <c r="G1" s="130"/>
      <c r="H1" s="130" t="s">
        <v>181</v>
      </c>
      <c r="I1" s="130" t="s">
        <v>182</v>
      </c>
      <c r="J1" s="52" t="s">
        <v>183</v>
      </c>
      <c r="K1" s="130" t="s">
        <v>185</v>
      </c>
      <c r="L1" s="130" t="s">
        <v>186</v>
      </c>
    </row>
    <row r="2" spans="1:14" ht="47.25" customHeight="1" x14ac:dyDescent="0.25">
      <c r="A2" s="130"/>
      <c r="B2" s="130"/>
      <c r="C2" s="52" t="s">
        <v>187</v>
      </c>
      <c r="D2" s="52" t="s">
        <v>188</v>
      </c>
      <c r="E2" s="130"/>
      <c r="F2" s="52" t="s">
        <v>189</v>
      </c>
      <c r="G2" s="52" t="s">
        <v>190</v>
      </c>
      <c r="H2" s="130"/>
      <c r="I2" s="130"/>
      <c r="J2" s="52" t="s">
        <v>184</v>
      </c>
      <c r="K2" s="130"/>
      <c r="L2" s="130"/>
    </row>
    <row r="3" spans="1:14" ht="15.75" x14ac:dyDescent="0.25">
      <c r="A3" s="130"/>
      <c r="B3" s="72">
        <v>1</v>
      </c>
      <c r="C3" s="72">
        <v>2</v>
      </c>
      <c r="D3" s="72">
        <v>3</v>
      </c>
      <c r="E3" s="72">
        <v>4</v>
      </c>
      <c r="F3" s="72">
        <v>5</v>
      </c>
      <c r="G3" s="72">
        <v>6</v>
      </c>
      <c r="H3" s="72">
        <v>7</v>
      </c>
      <c r="I3" s="72">
        <v>8</v>
      </c>
      <c r="J3" s="72">
        <v>9</v>
      </c>
      <c r="K3" s="72">
        <v>10</v>
      </c>
      <c r="L3" s="72">
        <v>11</v>
      </c>
    </row>
    <row r="4" spans="1:14" ht="18.75" customHeight="1" x14ac:dyDescent="0.25">
      <c r="A4" s="130" t="s">
        <v>191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4" ht="15.75" x14ac:dyDescent="0.25">
      <c r="A5" s="59" t="s">
        <v>192</v>
      </c>
      <c r="B5" s="52">
        <f>B8/70000*1000</f>
        <v>24399.719999999998</v>
      </c>
      <c r="C5" s="57">
        <f>C8/70000*1000</f>
        <v>18.169868325000003</v>
      </c>
      <c r="D5" s="57">
        <f>D8/70000*1000</f>
        <v>1.91905661074004</v>
      </c>
      <c r="E5" s="75">
        <f>E8/70000*1000</f>
        <v>6.0266774807220127</v>
      </c>
      <c r="F5" s="74">
        <f>C5*F13</f>
        <v>16.639905640582874</v>
      </c>
      <c r="G5" s="74">
        <f>(C5+F5)*G13</f>
        <v>48.323132557739719</v>
      </c>
      <c r="H5" s="74">
        <f>SUM(B5:G5)</f>
        <v>24490.798640614779</v>
      </c>
      <c r="I5" s="74">
        <f>C5*2</f>
        <v>36.339736650000006</v>
      </c>
      <c r="J5" s="74">
        <f>H5+I5</f>
        <v>24527.138377264779</v>
      </c>
      <c r="K5" s="74">
        <f>J5*0.025</f>
        <v>613.17845943161944</v>
      </c>
      <c r="L5" s="74">
        <f>J5+K5</f>
        <v>25140.316836696398</v>
      </c>
      <c r="N5">
        <f>L5*55</f>
        <v>1382717.4260183019</v>
      </c>
    </row>
    <row r="6" spans="1:14" ht="15.75" x14ac:dyDescent="0.25">
      <c r="A6" s="59" t="s">
        <v>193</v>
      </c>
      <c r="B6" s="52">
        <f>B9/60000*1000</f>
        <v>50498.74</v>
      </c>
      <c r="C6" s="57">
        <f>C9/60000*1000</f>
        <v>22.464756074999997</v>
      </c>
      <c r="D6" s="57">
        <f>D9/60000*1000</f>
        <v>2.3726720460089643</v>
      </c>
      <c r="E6" s="75">
        <f>E9/60000*1000</f>
        <v>7.4512284363026895</v>
      </c>
      <c r="F6" s="74">
        <f>C6*F13</f>
        <v>20.573149713604806</v>
      </c>
      <c r="G6" s="74">
        <f>(C6+F6)*G13</f>
        <v>59.745473454855833</v>
      </c>
      <c r="H6" s="74">
        <f>SUM(B6:G6)</f>
        <v>50611.347279725778</v>
      </c>
      <c r="I6" s="74">
        <f>C6*2</f>
        <v>44.929512149999994</v>
      </c>
      <c r="J6" s="74">
        <f>H6+I6</f>
        <v>50656.276791875782</v>
      </c>
      <c r="K6" s="74">
        <f>J6*0.025</f>
        <v>1266.4069197968947</v>
      </c>
      <c r="L6" s="74">
        <f>J6+K6</f>
        <v>51922.683711672675</v>
      </c>
      <c r="N6">
        <f>L6*45</f>
        <v>2336520.7670252705</v>
      </c>
    </row>
    <row r="7" spans="1:14" ht="15.75" x14ac:dyDescent="0.25">
      <c r="A7" s="130" t="s">
        <v>194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</row>
    <row r="8" spans="1:14" ht="15.75" x14ac:dyDescent="0.25">
      <c r="A8" s="59" t="s">
        <v>192</v>
      </c>
      <c r="B8" s="52">
        <f>'Таблица 3'!M2</f>
        <v>1707980.4</v>
      </c>
      <c r="C8" s="57">
        <f>'Фонд ЗП осн. раб'!N15</f>
        <v>1271.8907827500002</v>
      </c>
      <c r="D8" s="57">
        <f>'Фонд ЗП осн. раб'!N16</f>
        <v>134.3339627518028</v>
      </c>
      <c r="E8" s="57">
        <f>(C8+D8)*0.3</f>
        <v>421.8674236505409</v>
      </c>
      <c r="F8" s="57">
        <f>C8*F13</f>
        <v>1164.7933948408013</v>
      </c>
      <c r="G8" s="57">
        <f>G13*(C8+F8)</f>
        <v>3382.6192790417804</v>
      </c>
      <c r="H8" s="74">
        <f>SUM(B8:G8)</f>
        <v>1714355.9048430349</v>
      </c>
      <c r="I8" s="74">
        <f>C8*2</f>
        <v>2543.7815655000004</v>
      </c>
      <c r="J8" s="74">
        <f>H8+I8</f>
        <v>1716899.6864085349</v>
      </c>
      <c r="K8" s="74">
        <f>J8*0.025</f>
        <v>42922.492160213376</v>
      </c>
      <c r="L8" s="74">
        <f>J8+K8</f>
        <v>1759822.1785687483</v>
      </c>
      <c r="N8" s="84">
        <f>L8/55</f>
        <v>31996.76688306815</v>
      </c>
    </row>
    <row r="9" spans="1:14" ht="15.75" x14ac:dyDescent="0.25">
      <c r="A9" s="59" t="s">
        <v>193</v>
      </c>
      <c r="B9" s="52">
        <f>'Таблица 3'!M3</f>
        <v>3029924.4</v>
      </c>
      <c r="C9" s="57">
        <f>'Фонд ЗП осн. раб'!V15</f>
        <v>1347.8853644999999</v>
      </c>
      <c r="D9" s="57">
        <f>'Фонд ЗП осн. раб'!V16</f>
        <v>142.36032276053785</v>
      </c>
      <c r="E9" s="57">
        <f>(C9+D9)*0.3</f>
        <v>447.07370617816133</v>
      </c>
      <c r="F9" s="57">
        <f>C9*F13</f>
        <v>1234.3889828162885</v>
      </c>
      <c r="G9" s="57">
        <f>G13*(C9+F9)</f>
        <v>3584.7284072913503</v>
      </c>
      <c r="H9" s="74">
        <f>SUM(B9:G9)</f>
        <v>3036680.8367835456</v>
      </c>
      <c r="I9" s="74">
        <f>C9*2</f>
        <v>2695.7707289999998</v>
      </c>
      <c r="J9" s="74">
        <f>H9+I9</f>
        <v>3039376.6075125458</v>
      </c>
      <c r="K9" s="74">
        <f>J9*0.025</f>
        <v>75984.415187813647</v>
      </c>
      <c r="L9" s="74">
        <f>J9+K9</f>
        <v>3115361.0227003596</v>
      </c>
      <c r="N9" s="84">
        <f>L9/45</f>
        <v>69230.244948896885</v>
      </c>
    </row>
    <row r="10" spans="1:14" ht="63" x14ac:dyDescent="0.25">
      <c r="A10" s="59" t="s">
        <v>195</v>
      </c>
      <c r="B10" s="52">
        <f>'Таблица 3'!J4</f>
        <v>4738000</v>
      </c>
      <c r="C10" s="57">
        <f>C8+C9</f>
        <v>2619.7761472500001</v>
      </c>
      <c r="D10" s="57">
        <f>D8+D9</f>
        <v>276.69428551234068</v>
      </c>
      <c r="E10" s="57">
        <f>E8+E9</f>
        <v>868.94112982870229</v>
      </c>
      <c r="F10" s="57">
        <f>РСЭО!D12</f>
        <v>2399.1823776570895</v>
      </c>
      <c r="G10" s="57">
        <f>цеховые!D10</f>
        <v>6967.3476863331307</v>
      </c>
      <c r="H10" s="57">
        <f>H8+H9</f>
        <v>4751036.7416265802</v>
      </c>
      <c r="I10" s="57">
        <f>I8+I9</f>
        <v>5239.5522945000002</v>
      </c>
      <c r="J10" s="57">
        <f>J8+J9</f>
        <v>4756276.2939210804</v>
      </c>
      <c r="K10" s="57">
        <f>K8+K9</f>
        <v>118906.90734802702</v>
      </c>
      <c r="L10" s="57">
        <f>L8+L9</f>
        <v>4875183.2012691079</v>
      </c>
    </row>
    <row r="12" spans="1:14" x14ac:dyDescent="0.25">
      <c r="F12" t="s">
        <v>215</v>
      </c>
      <c r="G12" t="s">
        <v>231</v>
      </c>
    </row>
    <row r="13" spans="1:14" x14ac:dyDescent="0.25">
      <c r="F13">
        <f>F10/C10</f>
        <v>0.91579671040807453</v>
      </c>
      <c r="G13">
        <f>G10/(C10+F10)</f>
        <v>1.3882058701535314</v>
      </c>
    </row>
    <row r="15" spans="1:14" x14ac:dyDescent="0.25">
      <c r="F15" s="84">
        <f>F8+F9</f>
        <v>2399.18237765709</v>
      </c>
      <c r="G15" s="84">
        <f>G8+G9</f>
        <v>6967.3476863331307</v>
      </c>
    </row>
    <row r="17" spans="6:6" x14ac:dyDescent="0.25">
      <c r="F17">
        <f>F5*55000/1000</f>
        <v>915.1948102320581</v>
      </c>
    </row>
  </sheetData>
  <mergeCells count="11">
    <mergeCell ref="A7:L7"/>
    <mergeCell ref="I1:I2"/>
    <mergeCell ref="K1:K2"/>
    <mergeCell ref="L1:L2"/>
    <mergeCell ref="A4:L4"/>
    <mergeCell ref="A1:A3"/>
    <mergeCell ref="B1:B2"/>
    <mergeCell ref="C1:D1"/>
    <mergeCell ref="E1:E2"/>
    <mergeCell ref="F1:G1"/>
    <mergeCell ref="H1:H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opLeftCell="A7" zoomScale="60" zoomScaleNormal="60" workbookViewId="0">
      <selection activeCell="D12" sqref="D12"/>
    </sheetView>
  </sheetViews>
  <sheetFormatPr defaultRowHeight="15" x14ac:dyDescent="0.25"/>
  <cols>
    <col min="1" max="1" width="9.5703125" bestFit="1" customWidth="1"/>
    <col min="2" max="2" width="30.28515625" customWidth="1"/>
    <col min="3" max="3" width="26.28515625" customWidth="1"/>
    <col min="4" max="4" width="22.5703125" customWidth="1"/>
    <col min="7" max="7" width="24.85546875" customWidth="1"/>
    <col min="8" max="8" width="13.28515625" customWidth="1"/>
    <col min="9" max="9" width="22" customWidth="1"/>
    <col min="11" max="11" width="23.5703125" customWidth="1"/>
    <col min="12" max="12" width="20.5703125" customWidth="1"/>
  </cols>
  <sheetData>
    <row r="1" spans="1:19" ht="36.75" customHeight="1" x14ac:dyDescent="0.25">
      <c r="A1" s="52" t="s">
        <v>0</v>
      </c>
      <c r="B1" s="52" t="s">
        <v>196</v>
      </c>
      <c r="C1" s="52" t="s">
        <v>197</v>
      </c>
      <c r="D1" s="77" t="s">
        <v>214</v>
      </c>
      <c r="G1" s="138" t="s">
        <v>278</v>
      </c>
      <c r="H1" s="87" t="s">
        <v>279</v>
      </c>
      <c r="I1" s="138" t="s">
        <v>280</v>
      </c>
      <c r="J1" s="154"/>
      <c r="K1" s="138" t="s">
        <v>281</v>
      </c>
      <c r="L1" s="138" t="s">
        <v>282</v>
      </c>
      <c r="M1" s="155" t="s">
        <v>283</v>
      </c>
    </row>
    <row r="2" spans="1:19" ht="114" customHeight="1" x14ac:dyDescent="0.25">
      <c r="A2" s="73">
        <v>1</v>
      </c>
      <c r="B2" s="76" t="s">
        <v>198</v>
      </c>
      <c r="C2" s="76" t="s">
        <v>199</v>
      </c>
      <c r="D2" s="9">
        <f>'Таблица 2'!L5+'Таблица 2'!L12+'Таблица 2'!L13+'Таблица 2'!L14</f>
        <v>191.1239942857143</v>
      </c>
      <c r="G2" s="138"/>
      <c r="H2" s="87" t="s">
        <v>284</v>
      </c>
      <c r="I2" s="138"/>
      <c r="J2" s="154"/>
      <c r="K2" s="138"/>
      <c r="L2" s="138"/>
      <c r="M2" s="155"/>
    </row>
    <row r="3" spans="1:19" ht="73.5" customHeight="1" x14ac:dyDescent="0.25">
      <c r="A3" s="73">
        <v>2</v>
      </c>
      <c r="B3" s="76" t="s">
        <v>200</v>
      </c>
      <c r="C3" s="79" t="s">
        <v>201</v>
      </c>
      <c r="D3" s="51">
        <f>0.03*'Таблица 2'!J5</f>
        <v>41.462850000000003</v>
      </c>
      <c r="G3" s="95" t="s">
        <v>285</v>
      </c>
      <c r="H3" s="87" t="s">
        <v>286</v>
      </c>
      <c r="I3" s="96" t="s">
        <v>287</v>
      </c>
      <c r="J3" s="97">
        <f>'Таблица 2'!P12</f>
        <v>16</v>
      </c>
      <c r="K3" s="87">
        <v>15</v>
      </c>
      <c r="L3" s="87">
        <v>3.6</v>
      </c>
      <c r="M3" s="98">
        <f>J3*K3*L3/1000</f>
        <v>0.86399999999999999</v>
      </c>
    </row>
    <row r="4" spans="1:19" ht="58.5" customHeight="1" x14ac:dyDescent="0.25">
      <c r="A4" s="152">
        <v>3</v>
      </c>
      <c r="B4" s="153" t="s">
        <v>202</v>
      </c>
      <c r="C4" s="76" t="s">
        <v>203</v>
      </c>
      <c r="D4" s="9"/>
      <c r="G4" s="96" t="s">
        <v>288</v>
      </c>
      <c r="H4" s="87" t="s">
        <v>286</v>
      </c>
      <c r="I4" s="96" t="s">
        <v>289</v>
      </c>
      <c r="J4" s="98">
        <v>2</v>
      </c>
      <c r="K4" s="87">
        <v>10</v>
      </c>
      <c r="L4" s="87">
        <v>5.6</v>
      </c>
      <c r="M4" s="98">
        <f t="shared" ref="M4:M10" si="0">J4*K4*L4/1000</f>
        <v>0.112</v>
      </c>
    </row>
    <row r="5" spans="1:19" ht="40.5" customHeight="1" x14ac:dyDescent="0.25">
      <c r="A5" s="152"/>
      <c r="B5" s="153"/>
      <c r="C5" s="76" t="s">
        <v>204</v>
      </c>
      <c r="D5" s="9">
        <f>'Эл.энергия+Тепло'!K8</f>
        <v>1523.827777777778</v>
      </c>
      <c r="G5" s="96" t="s">
        <v>288</v>
      </c>
      <c r="H5" s="87" t="s">
        <v>286</v>
      </c>
      <c r="I5" s="96" t="s">
        <v>290</v>
      </c>
      <c r="J5" s="98">
        <v>1</v>
      </c>
      <c r="K5" s="87">
        <v>10</v>
      </c>
      <c r="L5" s="87">
        <v>5.6</v>
      </c>
      <c r="M5" s="98">
        <f t="shared" si="0"/>
        <v>5.6000000000000001E-2</v>
      </c>
    </row>
    <row r="6" spans="1:19" ht="139.5" customHeight="1" x14ac:dyDescent="0.25">
      <c r="A6" s="152"/>
      <c r="B6" s="153"/>
      <c r="C6" s="76" t="s">
        <v>205</v>
      </c>
      <c r="D6" s="9">
        <f>0.1*D5</f>
        <v>152.38277777777782</v>
      </c>
      <c r="G6" s="96" t="s">
        <v>291</v>
      </c>
      <c r="H6" s="87" t="s">
        <v>292</v>
      </c>
      <c r="I6" s="96" t="s">
        <v>287</v>
      </c>
      <c r="J6" s="97"/>
      <c r="K6" s="87">
        <v>18</v>
      </c>
      <c r="L6" s="87">
        <v>16.8</v>
      </c>
      <c r="M6" s="98">
        <f t="shared" si="0"/>
        <v>0</v>
      </c>
    </row>
    <row r="7" spans="1:19" ht="153" customHeight="1" x14ac:dyDescent="0.25">
      <c r="A7" s="152"/>
      <c r="B7" s="153"/>
      <c r="C7" s="76" t="s">
        <v>206</v>
      </c>
      <c r="D7" s="9">
        <f>M11</f>
        <v>13.576000000000001</v>
      </c>
      <c r="G7" s="96" t="s">
        <v>293</v>
      </c>
      <c r="H7" s="87" t="s">
        <v>292</v>
      </c>
      <c r="I7" s="96" t="s">
        <v>287</v>
      </c>
      <c r="J7" s="98"/>
      <c r="K7" s="87">
        <v>7</v>
      </c>
      <c r="L7" s="87">
        <v>17</v>
      </c>
      <c r="M7" s="98">
        <f t="shared" si="0"/>
        <v>0</v>
      </c>
    </row>
    <row r="8" spans="1:19" ht="180" customHeight="1" x14ac:dyDescent="0.25">
      <c r="A8" s="152"/>
      <c r="B8" s="153"/>
      <c r="C8" s="76" t="s">
        <v>207</v>
      </c>
      <c r="D8" s="9">
        <f>'Фонд ЗП вспом. раб'!G21/9*4*1.3</f>
        <v>446.33729470185477</v>
      </c>
      <c r="G8" s="96" t="s">
        <v>294</v>
      </c>
      <c r="H8" s="87" t="s">
        <v>286</v>
      </c>
      <c r="I8" s="96" t="s">
        <v>287</v>
      </c>
      <c r="J8" s="98">
        <v>6</v>
      </c>
      <c r="K8" s="87">
        <v>12</v>
      </c>
      <c r="L8" s="87">
        <v>18</v>
      </c>
      <c r="M8" s="98">
        <f t="shared" si="0"/>
        <v>1.296</v>
      </c>
      <c r="O8" s="84">
        <f>D8+цеховые!D2</f>
        <v>6798.4169197810279</v>
      </c>
      <c r="Q8" s="84">
        <f>'Фонд ЗП вспом. раб'!G21+'годовой ФОТ'!H13</f>
        <v>4886.2150962147489</v>
      </c>
      <c r="S8">
        <f>Q8*1.3</f>
        <v>6352.0796250791736</v>
      </c>
    </row>
    <row r="9" spans="1:19" ht="86.25" customHeight="1" x14ac:dyDescent="0.25">
      <c r="A9" s="73">
        <v>4</v>
      </c>
      <c r="B9" s="78" t="s">
        <v>208</v>
      </c>
      <c r="C9" s="76" t="s">
        <v>199</v>
      </c>
      <c r="D9" s="9">
        <f>'Таблица 2'!J15</f>
        <v>28</v>
      </c>
      <c r="G9" s="96" t="s">
        <v>295</v>
      </c>
      <c r="H9" s="87" t="s">
        <v>286</v>
      </c>
      <c r="I9" s="96" t="s">
        <v>287</v>
      </c>
      <c r="J9" s="98">
        <f>'Таблица 1'!K15</f>
        <v>16</v>
      </c>
      <c r="K9" s="87">
        <v>12</v>
      </c>
      <c r="L9" s="87">
        <v>19</v>
      </c>
      <c r="M9" s="98">
        <f t="shared" si="0"/>
        <v>3.6480000000000001</v>
      </c>
    </row>
    <row r="10" spans="1:19" ht="37.5" x14ac:dyDescent="0.25">
      <c r="A10" s="73">
        <v>5</v>
      </c>
      <c r="B10" s="76" t="s">
        <v>209</v>
      </c>
      <c r="C10" s="80" t="s">
        <v>210</v>
      </c>
      <c r="D10" s="81">
        <f>0.5/100*(D2+D3+D4)</f>
        <v>1.1629342214285716</v>
      </c>
      <c r="G10" s="96" t="s">
        <v>296</v>
      </c>
      <c r="H10" s="87" t="s">
        <v>286</v>
      </c>
      <c r="I10" s="96" t="s">
        <v>297</v>
      </c>
      <c r="J10" s="97">
        <f>'Таблица 1'!F15</f>
        <v>4</v>
      </c>
      <c r="K10" s="87">
        <v>100</v>
      </c>
      <c r="L10" s="87">
        <v>19</v>
      </c>
      <c r="M10" s="98">
        <f t="shared" si="0"/>
        <v>7.6</v>
      </c>
    </row>
    <row r="11" spans="1:19" ht="31.5" x14ac:dyDescent="0.3">
      <c r="A11" s="73">
        <v>6</v>
      </c>
      <c r="B11" s="76" t="s">
        <v>211</v>
      </c>
      <c r="C11" s="76" t="s">
        <v>212</v>
      </c>
      <c r="D11" s="9">
        <f>0.5/100*(D2+D3+D4+D9+D10)</f>
        <v>1.3087488925357145</v>
      </c>
      <c r="G11" s="99" t="s">
        <v>3</v>
      </c>
      <c r="H11" s="156"/>
      <c r="I11" s="157"/>
      <c r="J11" s="157"/>
      <c r="K11" s="157"/>
      <c r="L11" s="158"/>
      <c r="M11" s="98">
        <f>SUM(M3:M10)</f>
        <v>13.576000000000001</v>
      </c>
    </row>
    <row r="12" spans="1:19" ht="15.75" x14ac:dyDescent="0.25">
      <c r="A12" s="130" t="s">
        <v>213</v>
      </c>
      <c r="B12" s="130"/>
      <c r="C12" s="52"/>
      <c r="D12" s="9">
        <f>SUM(D2:D11)</f>
        <v>2399.1823776570895</v>
      </c>
    </row>
  </sheetData>
  <mergeCells count="10">
    <mergeCell ref="J1:J2"/>
    <mergeCell ref="K1:K2"/>
    <mergeCell ref="L1:L2"/>
    <mergeCell ref="M1:M2"/>
    <mergeCell ref="H11:L11"/>
    <mergeCell ref="A4:A8"/>
    <mergeCell ref="B4:B8"/>
    <mergeCell ref="A12:B12"/>
    <mergeCell ref="G1:G2"/>
    <mergeCell ref="I1:I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80" zoomScaleNormal="80" workbookViewId="0">
      <selection activeCell="D10" sqref="D10"/>
    </sheetView>
  </sheetViews>
  <sheetFormatPr defaultRowHeight="15" x14ac:dyDescent="0.25"/>
  <cols>
    <col min="1" max="1" width="4" customWidth="1"/>
    <col min="2" max="2" width="30.7109375" customWidth="1"/>
    <col min="3" max="3" width="50" customWidth="1"/>
    <col min="4" max="4" width="12.5703125" customWidth="1"/>
  </cols>
  <sheetData>
    <row r="1" spans="1:4" ht="47.25" x14ac:dyDescent="0.25">
      <c r="A1" s="52" t="s">
        <v>0</v>
      </c>
      <c r="B1" s="52" t="s">
        <v>196</v>
      </c>
      <c r="C1" s="52" t="s">
        <v>197</v>
      </c>
      <c r="D1" s="53" t="s">
        <v>229</v>
      </c>
    </row>
    <row r="2" spans="1:4" ht="114" customHeight="1" x14ac:dyDescent="0.25">
      <c r="A2" s="73">
        <v>1</v>
      </c>
      <c r="B2" s="76" t="s">
        <v>216</v>
      </c>
      <c r="C2" s="76" t="s">
        <v>217</v>
      </c>
      <c r="D2" s="83">
        <f>'годовой ФОТ'!H13*1.3+'Фонд ЗП вспом. раб'!G21*1.3/'Осн и вспом. раб'!Q20*9</f>
        <v>6352.0796250791727</v>
      </c>
    </row>
    <row r="3" spans="1:4" ht="47.25" x14ac:dyDescent="0.25">
      <c r="A3" s="73">
        <v>2</v>
      </c>
      <c r="B3" s="76" t="s">
        <v>218</v>
      </c>
      <c r="C3" s="76" t="s">
        <v>199</v>
      </c>
      <c r="D3" s="71">
        <f>'Таблица 2'!L2</f>
        <v>125.06666666666669</v>
      </c>
    </row>
    <row r="4" spans="1:4" ht="22.5" customHeight="1" x14ac:dyDescent="0.25">
      <c r="A4" s="152">
        <v>3</v>
      </c>
      <c r="B4" s="159" t="s">
        <v>219</v>
      </c>
      <c r="C4" s="76" t="s">
        <v>220</v>
      </c>
      <c r="D4" s="71">
        <f>'Эл.энергия+Тепло'!F14</f>
        <v>49.649600000000007</v>
      </c>
    </row>
    <row r="5" spans="1:4" ht="33.75" customHeight="1" x14ac:dyDescent="0.25">
      <c r="A5" s="152"/>
      <c r="B5" s="159"/>
      <c r="C5" s="76" t="s">
        <v>221</v>
      </c>
      <c r="D5" s="71">
        <f>0.5/100*'Таблица 2'!J2</f>
        <v>18.760000000000002</v>
      </c>
    </row>
    <row r="6" spans="1:4" ht="54.75" customHeight="1" x14ac:dyDescent="0.25">
      <c r="A6" s="73">
        <v>4</v>
      </c>
      <c r="B6" s="76" t="s">
        <v>222</v>
      </c>
      <c r="C6" s="76" t="s">
        <v>223</v>
      </c>
      <c r="D6" s="71">
        <f>1.5/100*'Таблица 2'!J2</f>
        <v>56.28</v>
      </c>
    </row>
    <row r="7" spans="1:4" ht="71.25" customHeight="1" x14ac:dyDescent="0.25">
      <c r="A7" s="73">
        <v>5</v>
      </c>
      <c r="B7" s="76" t="s">
        <v>224</v>
      </c>
      <c r="C7" s="76" t="s">
        <v>225</v>
      </c>
      <c r="D7" s="71">
        <f>0.4*'Осн и вспом. раб'!Q22</f>
        <v>18.400000000000002</v>
      </c>
    </row>
    <row r="8" spans="1:4" ht="27.75" customHeight="1" x14ac:dyDescent="0.25">
      <c r="A8" s="73">
        <v>6</v>
      </c>
      <c r="B8" s="76" t="s">
        <v>226</v>
      </c>
      <c r="C8" s="76" t="s">
        <v>227</v>
      </c>
      <c r="D8" s="71">
        <f>0.35*'Осн и вспом. раб'!Q22</f>
        <v>16.099999999999998</v>
      </c>
    </row>
    <row r="9" spans="1:4" ht="33" customHeight="1" x14ac:dyDescent="0.25">
      <c r="A9" s="73">
        <v>7</v>
      </c>
      <c r="B9" s="76" t="s">
        <v>211</v>
      </c>
      <c r="C9" s="76" t="s">
        <v>228</v>
      </c>
      <c r="D9" s="71">
        <f>5/100*(D2+D3+D4+D5+D6+D7)</f>
        <v>331.01179458729194</v>
      </c>
    </row>
    <row r="10" spans="1:4" ht="15.75" x14ac:dyDescent="0.25">
      <c r="A10" s="130" t="s">
        <v>213</v>
      </c>
      <c r="B10" s="130"/>
      <c r="C10" s="52"/>
      <c r="D10" s="83">
        <f>SUM(D2:D9)</f>
        <v>6967.3476863331307</v>
      </c>
    </row>
  </sheetData>
  <mergeCells count="3">
    <mergeCell ref="A4:A5"/>
    <mergeCell ref="B4:B5"/>
    <mergeCell ref="A10:B1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workbookViewId="0">
      <selection activeCell="F15" sqref="F15"/>
    </sheetView>
  </sheetViews>
  <sheetFormatPr defaultRowHeight="15" x14ac:dyDescent="0.25"/>
  <cols>
    <col min="1" max="1" width="3.42578125" customWidth="1"/>
    <col min="2" max="2" width="23.5703125" customWidth="1"/>
    <col min="3" max="3" width="19.140625" customWidth="1"/>
    <col min="4" max="4" width="17.7109375" customWidth="1"/>
  </cols>
  <sheetData>
    <row r="1" spans="1:4" ht="47.25" x14ac:dyDescent="0.25">
      <c r="A1" s="86"/>
      <c r="B1" s="86" t="s">
        <v>232</v>
      </c>
      <c r="C1" s="86" t="s">
        <v>233</v>
      </c>
      <c r="D1" s="86" t="s">
        <v>234</v>
      </c>
    </row>
    <row r="2" spans="1:4" ht="33.75" customHeight="1" x14ac:dyDescent="0.25">
      <c r="A2" s="85" t="s">
        <v>192</v>
      </c>
      <c r="B2" s="85" t="s">
        <v>235</v>
      </c>
      <c r="C2" s="100" t="s">
        <v>314</v>
      </c>
      <c r="D2" s="86">
        <f>'Таблица 3'!M4</f>
        <v>4737904.8</v>
      </c>
    </row>
    <row r="3" spans="1:4" ht="15.75" x14ac:dyDescent="0.25">
      <c r="A3" s="85" t="s">
        <v>193</v>
      </c>
      <c r="B3" s="85" t="s">
        <v>236</v>
      </c>
      <c r="C3" s="100" t="s">
        <v>309</v>
      </c>
      <c r="D3" s="57">
        <f>'Эл.энергия+Тепло'!K8+'Эл.энергия+Тепло'!F14</f>
        <v>1573.477377777778</v>
      </c>
    </row>
    <row r="4" spans="1:4" ht="15.75" x14ac:dyDescent="0.25">
      <c r="A4" s="85" t="s">
        <v>237</v>
      </c>
      <c r="B4" s="85" t="s">
        <v>238</v>
      </c>
      <c r="C4" s="100" t="s">
        <v>310</v>
      </c>
      <c r="D4" s="57">
        <f>'Фонд ЗП осн. раб'!E21+'Фонд ЗП вспом. раб'!G21+'годовой ФОТ'!H13</f>
        <v>7782.6855289770883</v>
      </c>
    </row>
    <row r="5" spans="1:4" ht="38.25" customHeight="1" x14ac:dyDescent="0.25">
      <c r="A5" s="85" t="s">
        <v>239</v>
      </c>
      <c r="B5" s="85" t="s">
        <v>179</v>
      </c>
      <c r="C5" s="100" t="s">
        <v>311</v>
      </c>
      <c r="D5" s="57">
        <f>0.3*D4</f>
        <v>2334.8056586931266</v>
      </c>
    </row>
    <row r="6" spans="1:4" ht="36.75" customHeight="1" x14ac:dyDescent="0.25">
      <c r="A6" s="85" t="s">
        <v>240</v>
      </c>
      <c r="B6" s="85" t="s">
        <v>241</v>
      </c>
      <c r="C6" s="100" t="s">
        <v>313</v>
      </c>
      <c r="D6" s="57">
        <f>'Таблица 2'!L16</f>
        <v>316.19066095238111</v>
      </c>
    </row>
    <row r="7" spans="1:4" ht="15.75" x14ac:dyDescent="0.25">
      <c r="A7" s="85" t="s">
        <v>242</v>
      </c>
      <c r="B7" s="85" t="s">
        <v>211</v>
      </c>
      <c r="C7" s="100" t="s">
        <v>312</v>
      </c>
      <c r="D7" s="57">
        <f>Калькуляция!I10+Калькуляция!K10+РСЭО!D3+РСЭО!D6+РСЭО!D7+РСЭО!D9+РСЭО!D10+РСЭО!D11+цеховые!D5+цеховые!D6+цеховые!D7+цеховые!D8+цеховые!D9</f>
        <v>124824.90474800604</v>
      </c>
    </row>
    <row r="8" spans="1:4" ht="15.75" x14ac:dyDescent="0.25">
      <c r="A8" s="64"/>
      <c r="B8" s="85" t="s">
        <v>243</v>
      </c>
      <c r="C8" s="86"/>
      <c r="D8" s="57">
        <f>SUM(D2:D7)</f>
        <v>4874736.8639744064</v>
      </c>
    </row>
    <row r="16" spans="1:4" x14ac:dyDescent="0.25">
      <c r="C16" t="s">
        <v>300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D11" sqref="D11"/>
    </sheetView>
  </sheetViews>
  <sheetFormatPr defaultRowHeight="15" x14ac:dyDescent="0.25"/>
  <cols>
    <col min="2" max="2" width="14.5703125" customWidth="1"/>
    <col min="4" max="4" width="17.28515625" customWidth="1"/>
  </cols>
  <sheetData>
    <row r="1" spans="1:4" ht="15.75" x14ac:dyDescent="0.25">
      <c r="A1" s="130" t="s">
        <v>28</v>
      </c>
      <c r="B1" s="86" t="s">
        <v>244</v>
      </c>
      <c r="C1" s="130" t="s">
        <v>245</v>
      </c>
      <c r="D1" s="130" t="s">
        <v>246</v>
      </c>
    </row>
    <row r="2" spans="1:4" ht="31.5" x14ac:dyDescent="0.25">
      <c r="A2" s="130"/>
      <c r="B2" s="86" t="s">
        <v>247</v>
      </c>
      <c r="C2" s="130"/>
      <c r="D2" s="130"/>
    </row>
    <row r="3" spans="1:4" ht="15.75" x14ac:dyDescent="0.25">
      <c r="A3" s="72">
        <v>1</v>
      </c>
      <c r="B3" s="72">
        <v>2</v>
      </c>
      <c r="C3" s="72">
        <v>3</v>
      </c>
      <c r="D3" s="72">
        <v>4</v>
      </c>
    </row>
    <row r="4" spans="1:4" ht="15.75" x14ac:dyDescent="0.25">
      <c r="A4" s="92">
        <v>1</v>
      </c>
      <c r="B4" s="92">
        <v>32.520000000000003</v>
      </c>
      <c r="C4" s="92">
        <f>'Таблица 1'!P6</f>
        <v>70000</v>
      </c>
      <c r="D4" s="92">
        <f>B4*C4</f>
        <v>2276400</v>
      </c>
    </row>
    <row r="5" spans="1:4" ht="15.75" x14ac:dyDescent="0.25">
      <c r="A5" s="92">
        <v>2</v>
      </c>
      <c r="B5" s="92">
        <v>63.73</v>
      </c>
      <c r="C5" s="92">
        <f>'Таблица 1'!P7</f>
        <v>60000</v>
      </c>
      <c r="D5" s="92">
        <f>B5*C5</f>
        <v>3823800</v>
      </c>
    </row>
    <row r="6" spans="1:4" ht="15.75" x14ac:dyDescent="0.25">
      <c r="A6" s="130" t="s">
        <v>248</v>
      </c>
      <c r="B6" s="130"/>
      <c r="C6" s="130"/>
      <c r="D6" s="92">
        <f>D4+D5</f>
        <v>6100200</v>
      </c>
    </row>
  </sheetData>
  <mergeCells count="4">
    <mergeCell ref="A1:A2"/>
    <mergeCell ref="C1:C2"/>
    <mergeCell ref="D1:D2"/>
    <mergeCell ref="A6:C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="80" zoomScaleNormal="80" workbookViewId="0">
      <selection activeCell="A23" sqref="A23:E23"/>
    </sheetView>
  </sheetViews>
  <sheetFormatPr defaultRowHeight="15" x14ac:dyDescent="0.25"/>
  <cols>
    <col min="1" max="1" width="32.28515625" customWidth="1"/>
    <col min="2" max="2" width="31.5703125" customWidth="1"/>
    <col min="3" max="3" width="26.28515625" customWidth="1"/>
    <col min="4" max="4" width="23.5703125" customWidth="1"/>
    <col min="5" max="5" width="24" customWidth="1"/>
  </cols>
  <sheetData>
    <row r="1" spans="1:5" ht="31.5" x14ac:dyDescent="0.25">
      <c r="A1" s="86" t="s">
        <v>0</v>
      </c>
      <c r="B1" s="86" t="s">
        <v>43</v>
      </c>
      <c r="C1" s="86" t="s">
        <v>249</v>
      </c>
      <c r="D1" s="86" t="s">
        <v>250</v>
      </c>
      <c r="E1" s="86" t="s">
        <v>251</v>
      </c>
    </row>
    <row r="2" spans="1:5" x14ac:dyDescent="0.25">
      <c r="A2" s="93">
        <v>1</v>
      </c>
      <c r="B2" s="93">
        <v>2</v>
      </c>
      <c r="C2" s="93">
        <v>3</v>
      </c>
      <c r="D2" s="93">
        <v>4</v>
      </c>
      <c r="E2" s="93">
        <v>5</v>
      </c>
    </row>
    <row r="3" spans="1:5" ht="35.25" customHeight="1" x14ac:dyDescent="0.25">
      <c r="A3" s="130">
        <v>1</v>
      </c>
      <c r="B3" s="91" t="s">
        <v>252</v>
      </c>
      <c r="C3" s="89"/>
      <c r="D3" s="91"/>
      <c r="E3" s="91"/>
    </row>
    <row r="4" spans="1:5" ht="21" customHeight="1" x14ac:dyDescent="0.25">
      <c r="A4" s="130"/>
      <c r="B4" s="94" t="s">
        <v>301</v>
      </c>
      <c r="C4" s="89" t="s">
        <v>253</v>
      </c>
      <c r="D4" s="91"/>
      <c r="E4" s="89">
        <f>'12. Расчета обьема пр'!D4</f>
        <v>2276400</v>
      </c>
    </row>
    <row r="5" spans="1:5" ht="25.5" customHeight="1" x14ac:dyDescent="0.25">
      <c r="A5" s="130"/>
      <c r="B5" s="94" t="s">
        <v>302</v>
      </c>
      <c r="C5" s="102"/>
      <c r="D5" s="91"/>
      <c r="E5" s="89">
        <f>'12. Расчета обьема пр'!D5</f>
        <v>3823800</v>
      </c>
    </row>
    <row r="6" spans="1:5" ht="21" customHeight="1" x14ac:dyDescent="0.25">
      <c r="A6" s="130"/>
      <c r="B6" s="94" t="s">
        <v>303</v>
      </c>
      <c r="C6" s="102"/>
      <c r="D6" s="91"/>
      <c r="E6" s="89">
        <f>'12. Расчета обьема пр'!D6</f>
        <v>6100200</v>
      </c>
    </row>
    <row r="7" spans="1:5" ht="21.75" customHeight="1" x14ac:dyDescent="0.25">
      <c r="A7" s="130">
        <v>2</v>
      </c>
      <c r="B7" s="91" t="s">
        <v>254</v>
      </c>
      <c r="C7" s="130" t="s">
        <v>253</v>
      </c>
      <c r="D7" s="91"/>
      <c r="E7" s="91"/>
    </row>
    <row r="8" spans="1:5" ht="20.25" customHeight="1" x14ac:dyDescent="0.25">
      <c r="A8" s="130"/>
      <c r="B8" s="94" t="s">
        <v>301</v>
      </c>
      <c r="C8" s="130"/>
      <c r="D8" s="91"/>
      <c r="E8" s="57">
        <f>Калькуляция!L8</f>
        <v>1759822.1785687483</v>
      </c>
    </row>
    <row r="9" spans="1:5" ht="19.5" customHeight="1" x14ac:dyDescent="0.25">
      <c r="A9" s="130"/>
      <c r="B9" s="94" t="s">
        <v>302</v>
      </c>
      <c r="C9" s="130"/>
      <c r="D9" s="91"/>
      <c r="E9" s="57">
        <f>Калькуляция!L9</f>
        <v>3115361.0227003596</v>
      </c>
    </row>
    <row r="10" spans="1:5" ht="16.5" customHeight="1" x14ac:dyDescent="0.25">
      <c r="A10" s="130"/>
      <c r="B10" s="94" t="s">
        <v>303</v>
      </c>
      <c r="C10" s="130"/>
      <c r="D10" s="91"/>
      <c r="E10" s="57">
        <f>Калькуляция!L10</f>
        <v>4875183.2012691079</v>
      </c>
    </row>
    <row r="11" spans="1:5" ht="27.75" customHeight="1" x14ac:dyDescent="0.25">
      <c r="A11" s="130">
        <v>3</v>
      </c>
      <c r="B11" s="91" t="s">
        <v>255</v>
      </c>
      <c r="C11" s="130" t="s">
        <v>256</v>
      </c>
      <c r="D11" s="91"/>
      <c r="E11" s="91"/>
    </row>
    <row r="12" spans="1:5" ht="20.25" customHeight="1" x14ac:dyDescent="0.25">
      <c r="A12" s="130"/>
      <c r="B12" s="94" t="s">
        <v>301</v>
      </c>
      <c r="C12" s="130"/>
      <c r="D12" s="91"/>
      <c r="E12" s="57">
        <f>E4-E8</f>
        <v>516577.82143125171</v>
      </c>
    </row>
    <row r="13" spans="1:5" ht="15.75" customHeight="1" x14ac:dyDescent="0.25">
      <c r="A13" s="130"/>
      <c r="B13" s="94" t="s">
        <v>302</v>
      </c>
      <c r="C13" s="130"/>
      <c r="D13" s="91"/>
      <c r="E13" s="57">
        <f>E5-E9</f>
        <v>708438.97729964042</v>
      </c>
    </row>
    <row r="14" spans="1:5" ht="16.5" customHeight="1" x14ac:dyDescent="0.25">
      <c r="A14" s="130"/>
      <c r="B14" s="94" t="s">
        <v>303</v>
      </c>
      <c r="C14" s="130"/>
      <c r="D14" s="91"/>
      <c r="E14" s="57">
        <f>E6-E10</f>
        <v>1225016.7987308921</v>
      </c>
    </row>
    <row r="15" spans="1:5" ht="31.5" customHeight="1" x14ac:dyDescent="0.25">
      <c r="A15" s="130">
        <v>4</v>
      </c>
      <c r="B15" s="91" t="s">
        <v>257</v>
      </c>
      <c r="C15" s="130" t="s">
        <v>258</v>
      </c>
      <c r="D15" s="91"/>
      <c r="E15" s="91"/>
    </row>
    <row r="16" spans="1:5" ht="16.5" customHeight="1" x14ac:dyDescent="0.25">
      <c r="A16" s="130"/>
      <c r="B16" s="94" t="s">
        <v>301</v>
      </c>
      <c r="C16" s="130"/>
      <c r="D16" s="91"/>
      <c r="E16" s="57">
        <f>E12/E8*100</f>
        <v>29.353978357710041</v>
      </c>
    </row>
    <row r="17" spans="1:5" ht="21" customHeight="1" x14ac:dyDescent="0.25">
      <c r="A17" s="130"/>
      <c r="B17" s="94" t="s">
        <v>302</v>
      </c>
      <c r="C17" s="130"/>
      <c r="D17" s="91"/>
      <c r="E17" s="57">
        <f>E13/E9*100</f>
        <v>22.74018876584562</v>
      </c>
    </row>
    <row r="18" spans="1:5" ht="16.5" customHeight="1" x14ac:dyDescent="0.25">
      <c r="A18" s="130"/>
      <c r="B18" s="94" t="s">
        <v>303</v>
      </c>
      <c r="C18" s="130"/>
      <c r="D18" s="91"/>
      <c r="E18" s="57">
        <f>E14/E10*100</f>
        <v>25.127605428489247</v>
      </c>
    </row>
    <row r="19" spans="1:5" ht="19.5" customHeight="1" x14ac:dyDescent="0.25">
      <c r="A19" s="130">
        <v>5</v>
      </c>
      <c r="B19" s="91" t="s">
        <v>259</v>
      </c>
      <c r="C19" s="130" t="s">
        <v>258</v>
      </c>
      <c r="D19" s="91"/>
      <c r="E19" s="91"/>
    </row>
    <row r="20" spans="1:5" ht="15" customHeight="1" x14ac:dyDescent="0.25">
      <c r="A20" s="130"/>
      <c r="B20" s="94" t="s">
        <v>301</v>
      </c>
      <c r="C20" s="130"/>
      <c r="D20" s="91"/>
      <c r="E20" s="57">
        <f>E12/E4*100</f>
        <v>22.692752654685101</v>
      </c>
    </row>
    <row r="21" spans="1:5" ht="16.5" customHeight="1" x14ac:dyDescent="0.25">
      <c r="A21" s="130"/>
      <c r="B21" s="94" t="s">
        <v>302</v>
      </c>
      <c r="C21" s="130"/>
      <c r="D21" s="91"/>
      <c r="E21" s="57">
        <f>E13/E5*100</f>
        <v>18.527092873571853</v>
      </c>
    </row>
    <row r="22" spans="1:5" ht="16.5" customHeight="1" x14ac:dyDescent="0.25">
      <c r="A22" s="130"/>
      <c r="B22" s="94" t="s">
        <v>303</v>
      </c>
      <c r="C22" s="130"/>
      <c r="D22" s="91"/>
      <c r="E22" s="57">
        <f>E14/E6*100</f>
        <v>20.081584189549396</v>
      </c>
    </row>
    <row r="23" spans="1:5" ht="15.75" x14ac:dyDescent="0.25">
      <c r="A23" s="130" t="s">
        <v>260</v>
      </c>
      <c r="B23" s="130"/>
      <c r="C23" s="130"/>
      <c r="D23" s="130"/>
      <c r="E23" s="130"/>
    </row>
    <row r="24" spans="1:5" ht="37.5" customHeight="1" x14ac:dyDescent="0.25">
      <c r="A24" s="91" t="s">
        <v>261</v>
      </c>
      <c r="B24" s="89" t="s">
        <v>253</v>
      </c>
      <c r="C24" s="130"/>
      <c r="D24" s="91"/>
      <c r="E24" s="9">
        <f>'Таблица 2'!J16</f>
        <v>5245.0207</v>
      </c>
    </row>
    <row r="25" spans="1:5" ht="13.5" customHeight="1" x14ac:dyDescent="0.25">
      <c r="A25" s="91" t="s">
        <v>262</v>
      </c>
      <c r="B25" s="89"/>
      <c r="C25" s="130"/>
      <c r="D25" s="91"/>
      <c r="E25" s="3"/>
    </row>
    <row r="26" spans="1:5" ht="18.75" customHeight="1" x14ac:dyDescent="0.25">
      <c r="A26" s="94" t="s">
        <v>306</v>
      </c>
      <c r="B26" s="89" t="s">
        <v>253</v>
      </c>
      <c r="C26" s="130"/>
      <c r="D26" s="91"/>
      <c r="E26" s="88">
        <f>'Таблица 2'!J5+'Таблица 2'!J12+'Таблица 2'!J14</f>
        <v>1451.1997500000002</v>
      </c>
    </row>
    <row r="27" spans="1:5" ht="19.5" customHeight="1" x14ac:dyDescent="0.25">
      <c r="A27" s="94" t="s">
        <v>298</v>
      </c>
      <c r="B27" s="89" t="s">
        <v>258</v>
      </c>
      <c r="C27" s="89"/>
      <c r="D27" s="91"/>
      <c r="E27" s="9">
        <f>E26/E24*100</f>
        <v>27.66814151944148</v>
      </c>
    </row>
    <row r="28" spans="1:5" ht="30.75" customHeight="1" x14ac:dyDescent="0.25">
      <c r="A28" s="91" t="s">
        <v>263</v>
      </c>
      <c r="B28" s="130" t="s">
        <v>264</v>
      </c>
      <c r="C28" s="130"/>
      <c r="D28" s="91"/>
      <c r="E28" s="90">
        <f>'Таблица 2'!F2</f>
        <v>134.4</v>
      </c>
    </row>
    <row r="29" spans="1:5" ht="15.75" x14ac:dyDescent="0.25">
      <c r="A29" s="103" t="s">
        <v>307</v>
      </c>
      <c r="B29" s="130"/>
      <c r="C29" s="130"/>
      <c r="D29" s="91"/>
      <c r="E29" s="88">
        <f>'Таблица 2'!F3</f>
        <v>112</v>
      </c>
    </row>
    <row r="30" spans="1:5" ht="21.75" customHeight="1" x14ac:dyDescent="0.25">
      <c r="A30" s="94" t="s">
        <v>308</v>
      </c>
      <c r="B30" s="130"/>
      <c r="C30" s="130"/>
      <c r="D30" s="91"/>
      <c r="E30" s="88">
        <f>'Таблица 2'!F4</f>
        <v>22.400000000000002</v>
      </c>
    </row>
    <row r="31" spans="1:5" ht="31.5" x14ac:dyDescent="0.25">
      <c r="A31" s="91" t="s">
        <v>265</v>
      </c>
      <c r="B31" s="89" t="s">
        <v>266</v>
      </c>
      <c r="C31" s="89"/>
      <c r="D31" s="89"/>
      <c r="E31" s="88">
        <f>'Таблица 1'!K15</f>
        <v>16</v>
      </c>
    </row>
    <row r="32" spans="1:5" ht="21" customHeight="1" x14ac:dyDescent="0.25">
      <c r="A32" s="91" t="s">
        <v>267</v>
      </c>
      <c r="B32" s="130"/>
      <c r="C32" s="130"/>
      <c r="D32" s="91"/>
      <c r="E32" s="9">
        <f>E6/E24</f>
        <v>1163.045934213377</v>
      </c>
    </row>
    <row r="33" spans="1:5" ht="18.75" customHeight="1" x14ac:dyDescent="0.25">
      <c r="A33" s="91" t="s">
        <v>268</v>
      </c>
      <c r="B33" s="130"/>
      <c r="C33" s="130"/>
      <c r="D33" s="91"/>
      <c r="E33" s="9">
        <f>E6/E26</f>
        <v>4203.5564022113422</v>
      </c>
    </row>
    <row r="34" spans="1:5" ht="17.25" customHeight="1" x14ac:dyDescent="0.25">
      <c r="A34" s="91" t="s">
        <v>269</v>
      </c>
      <c r="B34" s="89"/>
      <c r="C34" s="89"/>
      <c r="D34" s="89"/>
      <c r="E34" s="9">
        <f>E24/E6</f>
        <v>8.5981126848300052E-4</v>
      </c>
    </row>
    <row r="35" spans="1:5" ht="24" customHeight="1" x14ac:dyDescent="0.25">
      <c r="A35" s="91" t="s">
        <v>270</v>
      </c>
      <c r="B35" s="89" t="s">
        <v>271</v>
      </c>
      <c r="C35" s="89"/>
      <c r="D35" s="89"/>
      <c r="E35" s="9">
        <f>E24/'Осн и вспом. раб'!Q22</f>
        <v>114.02218913043478</v>
      </c>
    </row>
    <row r="36" spans="1:5" ht="24" customHeight="1" x14ac:dyDescent="0.25">
      <c r="A36" s="91" t="s">
        <v>299</v>
      </c>
      <c r="B36" s="89" t="s">
        <v>271</v>
      </c>
      <c r="C36" s="89"/>
      <c r="D36" s="89"/>
      <c r="E36" s="9">
        <f>E24/('Осн и вспом. раб'!Q19+'Осн и вспом. раб'!Q20)</f>
        <v>131.1255175</v>
      </c>
    </row>
    <row r="37" spans="1:5" ht="38.25" customHeight="1" x14ac:dyDescent="0.25">
      <c r="A37" s="91" t="s">
        <v>272</v>
      </c>
      <c r="B37" s="89" t="s">
        <v>273</v>
      </c>
      <c r="C37" s="89"/>
      <c r="D37" s="89"/>
      <c r="E37" s="9">
        <f>'Таблица 1'!K16</f>
        <v>0.88107232114964074</v>
      </c>
    </row>
    <row r="38" spans="1:5" ht="15.75" x14ac:dyDescent="0.25">
      <c r="A38" s="130" t="s">
        <v>274</v>
      </c>
      <c r="B38" s="130"/>
      <c r="C38" s="130"/>
      <c r="D38" s="130"/>
      <c r="E38" s="130"/>
    </row>
    <row r="39" spans="1:5" ht="15.75" x14ac:dyDescent="0.25">
      <c r="A39" s="91" t="s">
        <v>275</v>
      </c>
      <c r="B39" s="130" t="s">
        <v>253</v>
      </c>
      <c r="C39" s="130"/>
      <c r="D39" s="91"/>
      <c r="E39" s="3"/>
    </row>
    <row r="40" spans="1:5" ht="37.5" customHeight="1" x14ac:dyDescent="0.25">
      <c r="A40" s="94" t="s">
        <v>304</v>
      </c>
      <c r="B40" s="130"/>
      <c r="C40" s="130"/>
      <c r="D40" s="91"/>
      <c r="E40" s="9">
        <f>E6/'Осн и вспом. раб'!Q22</f>
        <v>132613.04347826086</v>
      </c>
    </row>
    <row r="41" spans="1:5" ht="23.25" customHeight="1" x14ac:dyDescent="0.25">
      <c r="A41" s="94" t="s">
        <v>305</v>
      </c>
      <c r="B41" s="130"/>
      <c r="C41" s="130"/>
      <c r="D41" s="91"/>
      <c r="E41" s="9">
        <f>E6/'Осн и вспом. раб'!Q19</f>
        <v>196780.64516129033</v>
      </c>
    </row>
    <row r="42" spans="1:5" ht="21.75" customHeight="1" x14ac:dyDescent="0.25">
      <c r="A42" s="91" t="s">
        <v>276</v>
      </c>
      <c r="B42" s="130" t="s">
        <v>277</v>
      </c>
      <c r="C42" s="130"/>
      <c r="D42" s="91"/>
      <c r="E42" s="3"/>
    </row>
    <row r="43" spans="1:5" ht="36.75" customHeight="1" x14ac:dyDescent="0.25">
      <c r="A43" s="94" t="s">
        <v>304</v>
      </c>
      <c r="B43" s="130"/>
      <c r="C43" s="130"/>
      <c r="D43" s="91"/>
      <c r="E43" s="9">
        <f>'11. Сметы затрат произв'!D4/'Осн и вспом. раб'!Q22/12</f>
        <v>14.099067987277335</v>
      </c>
    </row>
    <row r="44" spans="1:5" ht="24" customHeight="1" x14ac:dyDescent="0.25">
      <c r="A44" s="94" t="s">
        <v>305</v>
      </c>
      <c r="B44" s="130"/>
      <c r="C44" s="130"/>
      <c r="D44" s="91"/>
      <c r="E44" s="9">
        <f>'Фонд ЗП осн. раб'!E21/'Осн и вспом. раб'!Q19/12</f>
        <v>7.7862108407589794</v>
      </c>
    </row>
    <row r="45" spans="1:5" ht="23.25" customHeight="1" x14ac:dyDescent="0.25"/>
  </sheetData>
  <mergeCells count="20">
    <mergeCell ref="B42:B44"/>
    <mergeCell ref="C42:C44"/>
    <mergeCell ref="A19:A22"/>
    <mergeCell ref="C19:C22"/>
    <mergeCell ref="A23:E23"/>
    <mergeCell ref="C24:C26"/>
    <mergeCell ref="B28:B30"/>
    <mergeCell ref="C28:C30"/>
    <mergeCell ref="B32:B33"/>
    <mergeCell ref="C32:C33"/>
    <mergeCell ref="A38:E38"/>
    <mergeCell ref="B39:B41"/>
    <mergeCell ref="C39:C41"/>
    <mergeCell ref="A15:A18"/>
    <mergeCell ref="C15:C18"/>
    <mergeCell ref="A3:A6"/>
    <mergeCell ref="A7:A10"/>
    <mergeCell ref="C7:C10"/>
    <mergeCell ref="A11:A14"/>
    <mergeCell ref="C11:C1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zoomScale="60" zoomScaleNormal="60" workbookViewId="0">
      <selection sqref="A1:L16"/>
    </sheetView>
  </sheetViews>
  <sheetFormatPr defaultRowHeight="15" x14ac:dyDescent="0.25"/>
  <cols>
    <col min="6" max="6" width="10.42578125" customWidth="1"/>
    <col min="7" max="7" width="10.85546875" bestFit="1" customWidth="1"/>
    <col min="8" max="8" width="14.28515625" customWidth="1"/>
    <col min="9" max="9" width="10.7109375" customWidth="1"/>
    <col min="10" max="10" width="10.28515625" customWidth="1"/>
    <col min="11" max="12" width="12.140625" customWidth="1"/>
    <col min="14" max="14" width="8.140625" customWidth="1"/>
    <col min="15" max="15" width="36" customWidth="1"/>
    <col min="16" max="16" width="24.42578125" customWidth="1"/>
    <col min="17" max="17" width="18.7109375" customWidth="1"/>
    <col min="18" max="18" width="18.140625" customWidth="1"/>
  </cols>
  <sheetData>
    <row r="1" spans="1:18" ht="147" customHeight="1" x14ac:dyDescent="0.25">
      <c r="A1" s="1" t="s">
        <v>0</v>
      </c>
      <c r="B1" s="112" t="s">
        <v>14</v>
      </c>
      <c r="C1" s="112"/>
      <c r="D1" s="112"/>
      <c r="E1" s="112"/>
      <c r="F1" s="4" t="s">
        <v>15</v>
      </c>
      <c r="G1" s="4" t="s">
        <v>16</v>
      </c>
      <c r="H1" s="4" t="s">
        <v>17</v>
      </c>
      <c r="I1" s="4" t="s">
        <v>18</v>
      </c>
      <c r="J1" s="4" t="s">
        <v>19</v>
      </c>
      <c r="K1" s="4" t="s">
        <v>20</v>
      </c>
      <c r="L1" s="4" t="s">
        <v>21</v>
      </c>
    </row>
    <row r="2" spans="1:18" ht="17.45" customHeight="1" x14ac:dyDescent="0.25">
      <c r="A2" s="118">
        <v>1</v>
      </c>
      <c r="B2" s="131" t="s">
        <v>47</v>
      </c>
      <c r="C2" s="132"/>
      <c r="D2" s="132"/>
      <c r="E2" s="133"/>
      <c r="F2" s="4">
        <f>F3+F4</f>
        <v>134.4</v>
      </c>
      <c r="G2" s="4" t="s">
        <v>27</v>
      </c>
      <c r="H2" s="4" t="s">
        <v>49</v>
      </c>
      <c r="I2" s="4" t="s">
        <v>27</v>
      </c>
      <c r="J2" s="4">
        <f>J3+J4</f>
        <v>3752</v>
      </c>
      <c r="K2" s="4" t="s">
        <v>27</v>
      </c>
      <c r="L2" s="12">
        <f>L3+L4</f>
        <v>125.06666666666669</v>
      </c>
    </row>
    <row r="3" spans="1:18" ht="19.899999999999999" customHeight="1" x14ac:dyDescent="0.25">
      <c r="A3" s="134"/>
      <c r="B3" s="127" t="s">
        <v>48</v>
      </c>
      <c r="C3" s="128"/>
      <c r="D3" s="128"/>
      <c r="E3" s="129"/>
      <c r="F3" s="4">
        <f>'Таблица 1'!K15*7</f>
        <v>112</v>
      </c>
      <c r="G3" s="4">
        <v>28</v>
      </c>
      <c r="H3" s="4" t="s">
        <v>49</v>
      </c>
      <c r="I3" s="4">
        <f>G3</f>
        <v>28</v>
      </c>
      <c r="J3" s="4">
        <f>F3*I3</f>
        <v>3136</v>
      </c>
      <c r="K3" s="10">
        <f>1/30*100</f>
        <v>3.3333333333333335</v>
      </c>
      <c r="L3" s="13">
        <f>J3*K3/100</f>
        <v>104.53333333333335</v>
      </c>
    </row>
    <row r="4" spans="1:18" ht="20.45" customHeight="1" x14ac:dyDescent="0.25">
      <c r="A4" s="119"/>
      <c r="B4" s="127" t="s">
        <v>51</v>
      </c>
      <c r="C4" s="128"/>
      <c r="D4" s="128"/>
      <c r="E4" s="129"/>
      <c r="F4" s="2">
        <f>F3*0.2</f>
        <v>22.400000000000002</v>
      </c>
      <c r="G4" s="2">
        <v>27.5</v>
      </c>
      <c r="H4" s="1" t="s">
        <v>49</v>
      </c>
      <c r="I4" s="5">
        <f>G4</f>
        <v>27.5</v>
      </c>
      <c r="J4" s="2">
        <f>F4*G4</f>
        <v>616.00000000000011</v>
      </c>
      <c r="K4" s="10">
        <f>1/30*100</f>
        <v>3.3333333333333335</v>
      </c>
      <c r="L4" s="14">
        <f>J4*K4/100</f>
        <v>20.533333333333339</v>
      </c>
    </row>
    <row r="5" spans="1:18" ht="36.75" customHeight="1" x14ac:dyDescent="0.25">
      <c r="A5" s="112">
        <v>2</v>
      </c>
      <c r="B5" s="130" t="s">
        <v>52</v>
      </c>
      <c r="C5" s="130"/>
      <c r="D5" s="130"/>
      <c r="E5" s="130"/>
      <c r="F5" s="7">
        <f>F6+F7+F8+F9+F10+F11</f>
        <v>16</v>
      </c>
      <c r="G5" s="7" t="s">
        <v>27</v>
      </c>
      <c r="H5" s="7" t="s">
        <v>27</v>
      </c>
      <c r="I5" s="7" t="s">
        <v>27</v>
      </c>
      <c r="J5" s="7">
        <f>J6+J7+J8+J9+J10+J11</f>
        <v>1382.0950000000003</v>
      </c>
      <c r="K5" s="7" t="s">
        <v>49</v>
      </c>
      <c r="L5" s="7">
        <f>L6+L7+L8+L9+L10+L11</f>
        <v>172.76187500000003</v>
      </c>
      <c r="O5" s="7" t="s">
        <v>55</v>
      </c>
      <c r="P5" s="7" t="s">
        <v>56</v>
      </c>
      <c r="Q5" s="7" t="s">
        <v>58</v>
      </c>
      <c r="R5" s="7" t="s">
        <v>57</v>
      </c>
    </row>
    <row r="6" spans="1:18" ht="24" customHeight="1" x14ac:dyDescent="0.25">
      <c r="A6" s="112"/>
      <c r="B6" s="130" t="str">
        <f>'Таблица 1'!E2</f>
        <v>Зубофрезерный 5А312</v>
      </c>
      <c r="C6" s="130"/>
      <c r="D6" s="130"/>
      <c r="E6" s="130"/>
      <c r="F6" s="7">
        <f>'Таблица 1'!E15</f>
        <v>1</v>
      </c>
      <c r="G6" s="23">
        <v>98</v>
      </c>
      <c r="H6" s="7">
        <v>1.1000000000000001</v>
      </c>
      <c r="I6" s="7">
        <f>G6*H6</f>
        <v>107.80000000000001</v>
      </c>
      <c r="J6" s="7">
        <f>F6*I6</f>
        <v>107.80000000000001</v>
      </c>
      <c r="K6" s="7">
        <f>1/8*100</f>
        <v>12.5</v>
      </c>
      <c r="L6" s="7">
        <f>J6*K6/100</f>
        <v>13.475000000000001</v>
      </c>
      <c r="O6" s="7" t="str">
        <f t="shared" ref="O6:O11" si="0">B6</f>
        <v>Зубофрезерный 5А312</v>
      </c>
      <c r="P6" s="27">
        <f t="shared" ref="P6:P11" si="1">F6</f>
        <v>1</v>
      </c>
      <c r="Q6" s="7">
        <v>1.2</v>
      </c>
      <c r="R6" s="28">
        <f>Q6*P6</f>
        <v>1.2</v>
      </c>
    </row>
    <row r="7" spans="1:18" ht="23.25" customHeight="1" x14ac:dyDescent="0.25">
      <c r="A7" s="112"/>
      <c r="B7" s="130" t="str">
        <f>'Таблица 1'!F2</f>
        <v>Шлицешлифовальный3451В</v>
      </c>
      <c r="C7" s="130"/>
      <c r="D7" s="130"/>
      <c r="E7" s="130"/>
      <c r="F7" s="7">
        <f>'Таблица 1'!F15</f>
        <v>4</v>
      </c>
      <c r="G7" s="9">
        <v>94</v>
      </c>
      <c r="H7" s="7">
        <v>1.1000000000000001</v>
      </c>
      <c r="I7" s="7">
        <f t="shared" ref="I7:I11" si="2">G7*H7</f>
        <v>103.4</v>
      </c>
      <c r="J7" s="7">
        <f t="shared" ref="J7:J11" si="3">F7*I7</f>
        <v>413.6</v>
      </c>
      <c r="K7" s="7">
        <f t="shared" ref="K7:K11" si="4">1/8*100</f>
        <v>12.5</v>
      </c>
      <c r="L7" s="7">
        <f t="shared" ref="L7:L14" si="5">J7*K7/100</f>
        <v>51.7</v>
      </c>
      <c r="O7" s="7" t="str">
        <f t="shared" si="0"/>
        <v>Шлицешлифовальный3451В</v>
      </c>
      <c r="P7" s="27">
        <f t="shared" si="1"/>
        <v>4</v>
      </c>
      <c r="Q7" s="4">
        <v>2.4</v>
      </c>
      <c r="R7" s="28">
        <f t="shared" ref="R7:R11" si="6">Q7*P7</f>
        <v>9.6</v>
      </c>
    </row>
    <row r="8" spans="1:18" ht="20.25" customHeight="1" x14ac:dyDescent="0.25">
      <c r="A8" s="112"/>
      <c r="B8" s="130" t="str">
        <f>'Таблица 1'!G2</f>
        <v>Отрезная пила8642</v>
      </c>
      <c r="C8" s="130"/>
      <c r="D8" s="130"/>
      <c r="E8" s="130"/>
      <c r="F8" s="7">
        <f>'Таблица 1'!G15</f>
        <v>3</v>
      </c>
      <c r="G8" s="9">
        <v>6.15</v>
      </c>
      <c r="H8" s="7">
        <v>1.1000000000000001</v>
      </c>
      <c r="I8" s="7">
        <f t="shared" si="2"/>
        <v>6.7650000000000006</v>
      </c>
      <c r="J8" s="7">
        <f t="shared" si="3"/>
        <v>20.295000000000002</v>
      </c>
      <c r="K8" s="7">
        <f t="shared" si="4"/>
        <v>12.5</v>
      </c>
      <c r="L8" s="7">
        <f t="shared" si="5"/>
        <v>2.5368750000000002</v>
      </c>
      <c r="O8" s="7" t="str">
        <f t="shared" si="0"/>
        <v>Отрезная пила8642</v>
      </c>
      <c r="P8" s="27">
        <f t="shared" si="1"/>
        <v>3</v>
      </c>
      <c r="Q8" s="7">
        <v>0.8</v>
      </c>
      <c r="R8" s="28">
        <f t="shared" si="6"/>
        <v>2.4000000000000004</v>
      </c>
    </row>
    <row r="9" spans="1:18" ht="21" customHeight="1" x14ac:dyDescent="0.25">
      <c r="A9" s="112"/>
      <c r="B9" s="130" t="str">
        <f>'Таблица 1'!H2</f>
        <v>Токарно-винторезный  165</v>
      </c>
      <c r="C9" s="130"/>
      <c r="D9" s="130"/>
      <c r="E9" s="130"/>
      <c r="F9" s="7">
        <f>'Таблица 1'!H15</f>
        <v>1</v>
      </c>
      <c r="G9" s="9">
        <v>88</v>
      </c>
      <c r="H9" s="7">
        <v>1.1000000000000001</v>
      </c>
      <c r="I9" s="7">
        <f t="shared" si="2"/>
        <v>96.800000000000011</v>
      </c>
      <c r="J9" s="7">
        <f t="shared" si="3"/>
        <v>96.800000000000011</v>
      </c>
      <c r="K9" s="7">
        <f t="shared" si="4"/>
        <v>12.5</v>
      </c>
      <c r="L9" s="7">
        <f t="shared" si="5"/>
        <v>12.100000000000001</v>
      </c>
      <c r="O9" s="7" t="str">
        <f t="shared" si="0"/>
        <v>Токарно-винторезный  165</v>
      </c>
      <c r="P9" s="27">
        <f t="shared" si="1"/>
        <v>1</v>
      </c>
      <c r="Q9" s="7">
        <v>2.4</v>
      </c>
      <c r="R9" s="28">
        <f t="shared" si="6"/>
        <v>2.4</v>
      </c>
    </row>
    <row r="10" spans="1:18" ht="21" customHeight="1" x14ac:dyDescent="0.25">
      <c r="A10" s="112"/>
      <c r="B10" s="130" t="str">
        <f>'Таблица 1'!I2</f>
        <v>Зубозакругляющий55580</v>
      </c>
      <c r="C10" s="130"/>
      <c r="D10" s="130"/>
      <c r="E10" s="130"/>
      <c r="F10" s="7">
        <f>'Таблица 1'!I15</f>
        <v>5</v>
      </c>
      <c r="G10" s="9">
        <v>96</v>
      </c>
      <c r="H10" s="7">
        <v>1.1000000000000001</v>
      </c>
      <c r="I10" s="7">
        <f t="shared" si="2"/>
        <v>105.60000000000001</v>
      </c>
      <c r="J10" s="7">
        <f t="shared" si="3"/>
        <v>528</v>
      </c>
      <c r="K10" s="7">
        <f t="shared" si="4"/>
        <v>12.5</v>
      </c>
      <c r="L10" s="7">
        <f t="shared" si="5"/>
        <v>66</v>
      </c>
      <c r="O10" s="7" t="str">
        <f t="shared" si="0"/>
        <v>Зубозакругляющий55580</v>
      </c>
      <c r="P10" s="27">
        <f t="shared" si="1"/>
        <v>5</v>
      </c>
      <c r="Q10" s="7">
        <v>2</v>
      </c>
      <c r="R10" s="28">
        <f t="shared" si="6"/>
        <v>10</v>
      </c>
    </row>
    <row r="11" spans="1:18" ht="26.25" customHeight="1" x14ac:dyDescent="0.25">
      <c r="A11" s="112"/>
      <c r="B11" s="130" t="str">
        <f>'Таблица 1'!J2</f>
        <v>Зубофрезерный5а312</v>
      </c>
      <c r="C11" s="130"/>
      <c r="D11" s="130"/>
      <c r="E11" s="130"/>
      <c r="F11" s="7">
        <f>'Таблица 1'!J15</f>
        <v>2</v>
      </c>
      <c r="G11" s="9">
        <v>98</v>
      </c>
      <c r="H11" s="7">
        <v>1.1000000000000001</v>
      </c>
      <c r="I11" s="7">
        <f t="shared" si="2"/>
        <v>107.80000000000001</v>
      </c>
      <c r="J11" s="7">
        <f t="shared" si="3"/>
        <v>215.60000000000002</v>
      </c>
      <c r="K11" s="7">
        <f t="shared" si="4"/>
        <v>12.5</v>
      </c>
      <c r="L11" s="7">
        <f t="shared" si="5"/>
        <v>26.950000000000003</v>
      </c>
      <c r="O11" s="7" t="str">
        <f t="shared" si="0"/>
        <v>Зубофрезерный5а312</v>
      </c>
      <c r="P11" s="27">
        <f t="shared" si="1"/>
        <v>2</v>
      </c>
      <c r="Q11" s="7">
        <v>1.2</v>
      </c>
      <c r="R11" s="28">
        <f t="shared" si="6"/>
        <v>2.4</v>
      </c>
    </row>
    <row r="12" spans="1:18" ht="38.25" customHeight="1" x14ac:dyDescent="0.25">
      <c r="A12" s="7">
        <v>3</v>
      </c>
      <c r="B12" s="113" t="s">
        <v>23</v>
      </c>
      <c r="C12" s="113"/>
      <c r="D12" s="113"/>
      <c r="E12" s="113"/>
      <c r="F12" s="7" t="s">
        <v>54</v>
      </c>
      <c r="G12" s="9" t="s">
        <v>273</v>
      </c>
      <c r="H12" s="7" t="s">
        <v>27</v>
      </c>
      <c r="I12" s="7" t="s">
        <v>27</v>
      </c>
      <c r="J12" s="7">
        <f>J5*0.03</f>
        <v>41.462850000000003</v>
      </c>
      <c r="K12" s="9">
        <f>1/7*100</f>
        <v>14.285714285714285</v>
      </c>
      <c r="L12" s="9">
        <f t="shared" si="5"/>
        <v>5.9232642857142856</v>
      </c>
      <c r="O12" s="7" t="s">
        <v>3</v>
      </c>
      <c r="P12" s="7">
        <f>P6+P7+P8+P9+P10+P11</f>
        <v>16</v>
      </c>
      <c r="Q12" s="7" t="s">
        <v>27</v>
      </c>
      <c r="R12" s="9">
        <f>R6+R7+R8+R9+R10+R11</f>
        <v>28</v>
      </c>
    </row>
    <row r="13" spans="1:18" ht="39.75" customHeight="1" x14ac:dyDescent="0.25">
      <c r="A13" s="7">
        <v>4</v>
      </c>
      <c r="B13" s="113" t="s">
        <v>24</v>
      </c>
      <c r="C13" s="113"/>
      <c r="D13" s="113"/>
      <c r="E13" s="113"/>
      <c r="F13" s="7" t="s">
        <v>54</v>
      </c>
      <c r="G13" s="9" t="s">
        <v>273</v>
      </c>
      <c r="H13" s="7" t="s">
        <v>27</v>
      </c>
      <c r="I13" s="7" t="s">
        <v>27</v>
      </c>
      <c r="J13" s="7">
        <f>J5*0.01</f>
        <v>13.820950000000003</v>
      </c>
      <c r="K13" s="7">
        <f>1/2*100</f>
        <v>50</v>
      </c>
      <c r="L13" s="7">
        <f t="shared" si="5"/>
        <v>6.9104750000000017</v>
      </c>
    </row>
    <row r="14" spans="1:18" ht="29.25" customHeight="1" x14ac:dyDescent="0.25">
      <c r="A14" s="7">
        <v>5</v>
      </c>
      <c r="B14" s="113" t="s">
        <v>53</v>
      </c>
      <c r="C14" s="113"/>
      <c r="D14" s="113"/>
      <c r="E14" s="113"/>
      <c r="F14" s="7" t="s">
        <v>54</v>
      </c>
      <c r="G14" s="9" t="s">
        <v>273</v>
      </c>
      <c r="H14" s="7" t="s">
        <v>27</v>
      </c>
      <c r="I14" s="7" t="s">
        <v>27</v>
      </c>
      <c r="J14" s="20">
        <f>J5*0.02</f>
        <v>27.641900000000007</v>
      </c>
      <c r="K14" s="20">
        <f>1/5*100</f>
        <v>20</v>
      </c>
      <c r="L14" s="7">
        <f t="shared" si="5"/>
        <v>5.5283800000000021</v>
      </c>
    </row>
    <row r="15" spans="1:18" ht="40.5" customHeight="1" x14ac:dyDescent="0.25">
      <c r="A15" s="26">
        <v>6</v>
      </c>
      <c r="B15" s="113" t="s">
        <v>25</v>
      </c>
      <c r="C15" s="113"/>
      <c r="D15" s="113"/>
      <c r="E15" s="113"/>
      <c r="F15" s="7" t="s">
        <v>54</v>
      </c>
      <c r="G15" s="9" t="s">
        <v>273</v>
      </c>
      <c r="H15" s="7" t="s">
        <v>27</v>
      </c>
      <c r="I15" s="7" t="s">
        <v>27</v>
      </c>
      <c r="J15" s="9">
        <f>R12</f>
        <v>28</v>
      </c>
      <c r="K15" s="7" t="s">
        <v>27</v>
      </c>
      <c r="L15" s="7" t="s">
        <v>27</v>
      </c>
    </row>
    <row r="16" spans="1:18" ht="28.5" customHeight="1" x14ac:dyDescent="0.25">
      <c r="A16" s="135" t="s">
        <v>3</v>
      </c>
      <c r="B16" s="135"/>
      <c r="C16" s="135"/>
      <c r="D16" s="135"/>
      <c r="E16" s="135"/>
      <c r="F16" s="7" t="s">
        <v>54</v>
      </c>
      <c r="G16" s="9" t="s">
        <v>273</v>
      </c>
      <c r="H16" s="7" t="s">
        <v>27</v>
      </c>
      <c r="I16" s="7" t="s">
        <v>27</v>
      </c>
      <c r="J16" s="9">
        <f>J2+J5+J12+J13+J14+J15</f>
        <v>5245.0207</v>
      </c>
      <c r="K16" s="22" t="s">
        <v>49</v>
      </c>
      <c r="L16" s="31">
        <f>L2+L5+L12+L13+L14</f>
        <v>316.19066095238111</v>
      </c>
    </row>
    <row r="17" spans="1:5" ht="15.75" x14ac:dyDescent="0.25">
      <c r="A17" s="24"/>
      <c r="B17" s="126"/>
      <c r="C17" s="126"/>
      <c r="D17" s="126"/>
      <c r="E17" s="126"/>
    </row>
    <row r="18" spans="1:5" ht="15.75" x14ac:dyDescent="0.25">
      <c r="A18" s="24"/>
      <c r="B18" s="25"/>
      <c r="C18" s="25"/>
      <c r="D18" s="25"/>
      <c r="E18" s="25"/>
    </row>
  </sheetData>
  <mergeCells count="19">
    <mergeCell ref="A2:A4"/>
    <mergeCell ref="A16:E16"/>
    <mergeCell ref="B13:E13"/>
    <mergeCell ref="B6:E6"/>
    <mergeCell ref="B7:E7"/>
    <mergeCell ref="B8:E8"/>
    <mergeCell ref="B15:E15"/>
    <mergeCell ref="A5:A11"/>
    <mergeCell ref="B17:E17"/>
    <mergeCell ref="B1:E1"/>
    <mergeCell ref="B4:E4"/>
    <mergeCell ref="B5:E5"/>
    <mergeCell ref="B14:E14"/>
    <mergeCell ref="B2:E2"/>
    <mergeCell ref="B3:E3"/>
    <mergeCell ref="B11:E11"/>
    <mergeCell ref="B9:E9"/>
    <mergeCell ref="B10:E10"/>
    <mergeCell ref="B12:E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zoomScale="90" zoomScaleNormal="90" workbookViewId="0">
      <selection sqref="A1:N9"/>
    </sheetView>
  </sheetViews>
  <sheetFormatPr defaultRowHeight="15" x14ac:dyDescent="0.25"/>
  <cols>
    <col min="2" max="2" width="12.140625" customWidth="1"/>
    <col min="3" max="3" width="10.85546875" customWidth="1"/>
    <col min="4" max="4" width="12" customWidth="1"/>
    <col min="6" max="6" width="12" customWidth="1"/>
    <col min="9" max="9" width="12.140625" customWidth="1"/>
    <col min="10" max="10" width="11.5703125" customWidth="1"/>
    <col min="11" max="12" width="11.7109375" customWidth="1"/>
    <col min="13" max="13" width="10.5703125" customWidth="1"/>
    <col min="14" max="14" width="14.85546875" customWidth="1"/>
  </cols>
  <sheetData>
    <row r="1" spans="1:14" ht="110.25" x14ac:dyDescent="0.25">
      <c r="A1" s="1" t="s">
        <v>28</v>
      </c>
      <c r="B1" s="4" t="s">
        <v>29</v>
      </c>
      <c r="C1" s="4" t="s">
        <v>37</v>
      </c>
      <c r="D1" s="4" t="s">
        <v>30</v>
      </c>
      <c r="E1" s="4" t="s">
        <v>31</v>
      </c>
      <c r="F1" s="4" t="s">
        <v>32</v>
      </c>
      <c r="G1" s="4" t="s">
        <v>33</v>
      </c>
      <c r="H1" s="4" t="s">
        <v>34</v>
      </c>
      <c r="I1" s="4" t="s">
        <v>35</v>
      </c>
      <c r="J1" s="4" t="s">
        <v>36</v>
      </c>
      <c r="K1" s="4" t="s">
        <v>38</v>
      </c>
      <c r="L1" s="4" t="s">
        <v>39</v>
      </c>
      <c r="M1" s="4" t="s">
        <v>40</v>
      </c>
      <c r="N1" s="4" t="s">
        <v>41</v>
      </c>
    </row>
    <row r="2" spans="1:14" ht="17.25" customHeight="1" x14ac:dyDescent="0.25">
      <c r="A2" s="1">
        <v>1</v>
      </c>
      <c r="B2" s="7">
        <v>70</v>
      </c>
      <c r="C2" s="3" t="s">
        <v>60</v>
      </c>
      <c r="D2" s="7">
        <v>12200</v>
      </c>
      <c r="E2" s="7">
        <v>2</v>
      </c>
      <c r="F2" s="7">
        <f>B2*E2</f>
        <v>140</v>
      </c>
      <c r="G2" s="7">
        <v>1.6</v>
      </c>
      <c r="H2" s="7">
        <f>E2-G2</f>
        <v>0.39999999999999991</v>
      </c>
      <c r="I2" s="7">
        <f>B2*H2</f>
        <v>27.999999999999993</v>
      </c>
      <c r="J2" s="7">
        <f>F2*D2</f>
        <v>1708000</v>
      </c>
      <c r="K2" s="5">
        <f>0.7</f>
        <v>0.7</v>
      </c>
      <c r="L2" s="7">
        <f>I2*K2</f>
        <v>19.599999999999994</v>
      </c>
      <c r="M2" s="7">
        <f>J2-L2</f>
        <v>1707980.4</v>
      </c>
      <c r="N2" s="7">
        <f>M2*1.05</f>
        <v>1793379.42</v>
      </c>
    </row>
    <row r="3" spans="1:14" ht="15.75" x14ac:dyDescent="0.25">
      <c r="A3" s="1">
        <v>2</v>
      </c>
      <c r="B3" s="7">
        <v>60</v>
      </c>
      <c r="C3" s="21" t="s">
        <v>59</v>
      </c>
      <c r="D3" s="7">
        <v>10100</v>
      </c>
      <c r="E3" s="7">
        <v>5</v>
      </c>
      <c r="F3" s="7">
        <f>B3*E3</f>
        <v>300</v>
      </c>
      <c r="G3" s="7">
        <v>3.2</v>
      </c>
      <c r="H3" s="7">
        <f>E3-G3</f>
        <v>1.7999999999999998</v>
      </c>
      <c r="I3" s="7">
        <f>B3*H3</f>
        <v>107.99999999999999</v>
      </c>
      <c r="J3" s="7">
        <f>F3*D3</f>
        <v>3030000</v>
      </c>
      <c r="K3" s="5">
        <v>0.7</v>
      </c>
      <c r="L3" s="7">
        <f>I3*K3</f>
        <v>75.59999999999998</v>
      </c>
      <c r="M3" s="7">
        <f>J3-L3</f>
        <v>3029924.4</v>
      </c>
      <c r="N3" s="7">
        <f>M3*1.05</f>
        <v>3181420.62</v>
      </c>
    </row>
    <row r="4" spans="1:14" ht="15.75" x14ac:dyDescent="0.25">
      <c r="A4" s="1" t="s">
        <v>42</v>
      </c>
      <c r="B4" s="7">
        <f>B2+B3</f>
        <v>130</v>
      </c>
      <c r="C4" s="7" t="s">
        <v>26</v>
      </c>
      <c r="D4" s="7" t="s">
        <v>27</v>
      </c>
      <c r="E4" s="7" t="s">
        <v>27</v>
      </c>
      <c r="F4" s="7" t="s">
        <v>27</v>
      </c>
      <c r="G4" s="7" t="s">
        <v>27</v>
      </c>
      <c r="H4" s="7" t="s">
        <v>27</v>
      </c>
      <c r="I4" s="7">
        <f>I2+I3</f>
        <v>135.99999999999997</v>
      </c>
      <c r="J4" s="7">
        <f>J2+J3</f>
        <v>4738000</v>
      </c>
      <c r="K4" s="7" t="s">
        <v>27</v>
      </c>
      <c r="L4" s="7">
        <f>L2+L3</f>
        <v>95.199999999999974</v>
      </c>
      <c r="M4" s="7">
        <f>M2+M3</f>
        <v>4737904.8</v>
      </c>
      <c r="N4" s="7">
        <f>N2+N3</f>
        <v>4974800.04</v>
      </c>
    </row>
    <row r="7" spans="1:14" x14ac:dyDescent="0.25">
      <c r="I7" s="41">
        <f>I4/2/'Таблица 2'!F3/223</f>
        <v>2.7226137091607935E-3</v>
      </c>
      <c r="J7" s="41" t="s">
        <v>101</v>
      </c>
      <c r="K7" s="4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21" sqref="D21"/>
    </sheetView>
  </sheetViews>
  <sheetFormatPr defaultRowHeight="15" x14ac:dyDescent="0.25"/>
  <cols>
    <col min="1" max="1" width="35.42578125" customWidth="1"/>
    <col min="2" max="2" width="14.5703125" customWidth="1"/>
    <col min="3" max="3" width="29.85546875" customWidth="1"/>
    <col min="4" max="4" width="24.7109375" customWidth="1"/>
    <col min="5" max="5" width="22.28515625" customWidth="1"/>
    <col min="6" max="6" width="19.5703125" customWidth="1"/>
    <col min="7" max="7" width="19" customWidth="1"/>
    <col min="8" max="8" width="21.5703125" customWidth="1"/>
    <col min="9" max="9" width="14" customWidth="1"/>
    <col min="11" max="11" width="17" customWidth="1"/>
  </cols>
  <sheetData>
    <row r="1" spans="1:11" ht="67.5" customHeight="1" x14ac:dyDescent="0.25">
      <c r="A1" s="7" t="s">
        <v>62</v>
      </c>
      <c r="B1" s="7" t="s">
        <v>63</v>
      </c>
      <c r="C1" s="4" t="s">
        <v>64</v>
      </c>
      <c r="D1" s="4" t="s">
        <v>65</v>
      </c>
      <c r="E1" s="4" t="s">
        <v>66</v>
      </c>
      <c r="F1" s="4" t="s">
        <v>67</v>
      </c>
      <c r="G1" s="4" t="s">
        <v>68</v>
      </c>
      <c r="H1" s="4" t="s">
        <v>71</v>
      </c>
      <c r="I1" s="4" t="s">
        <v>69</v>
      </c>
      <c r="J1" s="4" t="s">
        <v>70</v>
      </c>
      <c r="K1" s="4" t="s">
        <v>89</v>
      </c>
    </row>
    <row r="2" spans="1:11" ht="15.75" x14ac:dyDescent="0.25">
      <c r="A2" s="3" t="str">
        <f>'Таблица 1'!E2</f>
        <v>Зубофрезерный 5А312</v>
      </c>
      <c r="B2" s="7">
        <f>'Таблица 1'!E15</f>
        <v>1</v>
      </c>
      <c r="C2" s="7">
        <v>10</v>
      </c>
      <c r="D2" s="9">
        <f>'Таблица 1'!E16</f>
        <v>0.54670415495157754</v>
      </c>
      <c r="E2" s="7">
        <v>3880</v>
      </c>
      <c r="F2" s="7">
        <v>1.03</v>
      </c>
      <c r="G2" s="7">
        <v>1.1000000000000001</v>
      </c>
      <c r="H2" s="7">
        <v>0.75</v>
      </c>
      <c r="I2" s="38">
        <f>((E2*F2*G2)/H2)*B2*C2*D2</f>
        <v>32044.444444444449</v>
      </c>
      <c r="J2" s="7">
        <v>2.5</v>
      </c>
      <c r="K2" s="9">
        <f>I2*J2/1000</f>
        <v>80.111111111111128</v>
      </c>
    </row>
    <row r="3" spans="1:11" ht="15.75" x14ac:dyDescent="0.25">
      <c r="A3" s="3" t="str">
        <f>'Таблица 1'!F2</f>
        <v>Шлицешлифовальный3451В</v>
      </c>
      <c r="B3" s="7">
        <f>'Таблица 1'!F15</f>
        <v>4</v>
      </c>
      <c r="C3" s="7">
        <v>8</v>
      </c>
      <c r="D3" s="9">
        <f>'Таблица 1'!F16</f>
        <v>0.82005623242736636</v>
      </c>
      <c r="E3" s="7">
        <v>3880</v>
      </c>
      <c r="F3" s="7">
        <v>1.03</v>
      </c>
      <c r="G3" s="7">
        <v>1.1000000000000001</v>
      </c>
      <c r="H3" s="7">
        <v>0.75</v>
      </c>
      <c r="I3" s="38">
        <f t="shared" ref="I3:I7" si="0">((E3*F3*G3)/H3)*B3*C3*D3</f>
        <v>153813.33333333334</v>
      </c>
      <c r="J3" s="7">
        <v>2.5</v>
      </c>
      <c r="K3" s="9">
        <f t="shared" ref="K3:K7" si="1">I3*J3/1000</f>
        <v>384.53333333333336</v>
      </c>
    </row>
    <row r="4" spans="1:11" ht="15.75" x14ac:dyDescent="0.25">
      <c r="A4" s="3" t="str">
        <f>'Таблица 1'!G2</f>
        <v>Отрезная пила8642</v>
      </c>
      <c r="B4" s="7">
        <f>'Таблица 1'!G15</f>
        <v>3</v>
      </c>
      <c r="C4" s="7">
        <v>3</v>
      </c>
      <c r="D4" s="9">
        <f>'Таблица 1'!G16</f>
        <v>1.002290950744559</v>
      </c>
      <c r="E4" s="7">
        <v>3880</v>
      </c>
      <c r="F4" s="7">
        <v>1.03</v>
      </c>
      <c r="G4" s="7">
        <v>1.1000000000000001</v>
      </c>
      <c r="H4" s="7">
        <v>0.75</v>
      </c>
      <c r="I4" s="38">
        <f t="shared" si="0"/>
        <v>52873.333333333343</v>
      </c>
      <c r="J4" s="7">
        <v>2.5</v>
      </c>
      <c r="K4" s="9">
        <f t="shared" si="1"/>
        <v>132.18333333333337</v>
      </c>
    </row>
    <row r="5" spans="1:11" ht="15.75" x14ac:dyDescent="0.25">
      <c r="A5" s="3" t="str">
        <f>'Таблица 1'!H2</f>
        <v>Токарно-винторезный  165</v>
      </c>
      <c r="B5" s="7">
        <f>'Таблица 1'!H15</f>
        <v>1</v>
      </c>
      <c r="C5" s="7">
        <v>22</v>
      </c>
      <c r="D5" s="9">
        <f>'Таблица 1'!H16</f>
        <v>0.70290534208059974</v>
      </c>
      <c r="E5" s="7">
        <v>3880</v>
      </c>
      <c r="F5" s="7">
        <v>1.03</v>
      </c>
      <c r="G5" s="7">
        <v>1.1000000000000001</v>
      </c>
      <c r="H5" s="7">
        <v>0.75</v>
      </c>
      <c r="I5" s="38">
        <f t="shared" si="0"/>
        <v>90640.000000000015</v>
      </c>
      <c r="J5" s="7">
        <v>2.5</v>
      </c>
      <c r="K5" s="9">
        <f t="shared" si="1"/>
        <v>226.60000000000002</v>
      </c>
    </row>
    <row r="6" spans="1:11" ht="15.75" x14ac:dyDescent="0.25">
      <c r="A6" s="3" t="str">
        <f>'Таблица 1'!I2</f>
        <v>Зубозакругляющий55580</v>
      </c>
      <c r="B6" s="7">
        <f>'Таблица 1'!I15</f>
        <v>5</v>
      </c>
      <c r="C6" s="7">
        <v>6</v>
      </c>
      <c r="D6" s="9">
        <f>'Таблица 1'!I16</f>
        <v>0.89034676663542633</v>
      </c>
      <c r="E6" s="7">
        <v>3880</v>
      </c>
      <c r="F6" s="7">
        <v>1.03</v>
      </c>
      <c r="G6" s="7">
        <v>1.1000000000000001</v>
      </c>
      <c r="H6" s="7">
        <v>0.75</v>
      </c>
      <c r="I6" s="38">
        <f t="shared" si="0"/>
        <v>156560</v>
      </c>
      <c r="J6" s="7">
        <v>2.5</v>
      </c>
      <c r="K6" s="9">
        <f t="shared" si="1"/>
        <v>391.4</v>
      </c>
    </row>
    <row r="7" spans="1:11" ht="15.75" x14ac:dyDescent="0.25">
      <c r="A7" s="3" t="str">
        <f>'Таблица 1'!J2</f>
        <v>Зубофрезерный5а312</v>
      </c>
      <c r="B7" s="7">
        <f>'Таблица 1'!J15</f>
        <v>2</v>
      </c>
      <c r="C7" s="7">
        <v>10</v>
      </c>
      <c r="D7" s="9">
        <f>'Таблица 1'!J16</f>
        <v>1.0543580131208996</v>
      </c>
      <c r="E7" s="7">
        <v>3880</v>
      </c>
      <c r="F7" s="7">
        <v>1.03</v>
      </c>
      <c r="G7" s="7">
        <v>1.1000000000000001</v>
      </c>
      <c r="H7" s="7">
        <v>0.75</v>
      </c>
      <c r="I7" s="38">
        <f t="shared" si="0"/>
        <v>123600.00000000001</v>
      </c>
      <c r="J7" s="7">
        <v>2.5</v>
      </c>
      <c r="K7" s="9">
        <f t="shared" si="1"/>
        <v>309.00000000000006</v>
      </c>
    </row>
    <row r="8" spans="1:11" x14ac:dyDescent="0.25">
      <c r="A8" s="20" t="s">
        <v>3</v>
      </c>
      <c r="B8" s="20">
        <f>SUM(B2:B7)</f>
        <v>16</v>
      </c>
      <c r="C8" s="20" t="s">
        <v>27</v>
      </c>
      <c r="D8" s="20" t="s">
        <v>27</v>
      </c>
      <c r="E8" s="20" t="s">
        <v>27</v>
      </c>
      <c r="F8" s="20" t="s">
        <v>27</v>
      </c>
      <c r="G8" s="20" t="s">
        <v>27</v>
      </c>
      <c r="H8" s="20" t="s">
        <v>27</v>
      </c>
      <c r="I8" s="40">
        <f>SUM(I2:I7)</f>
        <v>609531.11111111112</v>
      </c>
      <c r="J8" s="20" t="s">
        <v>49</v>
      </c>
      <c r="K8" s="30">
        <f>SUM(K2:K7)</f>
        <v>1523.827777777778</v>
      </c>
    </row>
    <row r="11" spans="1:11" ht="47.25" x14ac:dyDescent="0.25">
      <c r="A11" s="7" t="s">
        <v>81</v>
      </c>
      <c r="B11" s="7" t="s">
        <v>84</v>
      </c>
      <c r="C11" s="7" t="s">
        <v>85</v>
      </c>
      <c r="D11" s="4" t="s">
        <v>86</v>
      </c>
      <c r="E11" s="7" t="s">
        <v>87</v>
      </c>
      <c r="F11" s="4" t="s">
        <v>88</v>
      </c>
    </row>
    <row r="12" spans="1:11" ht="15.75" x14ac:dyDescent="0.25">
      <c r="A12" s="3" t="s">
        <v>82</v>
      </c>
      <c r="B12" s="7">
        <f>'Таблица 2'!F3</f>
        <v>112</v>
      </c>
      <c r="C12" s="7">
        <v>8</v>
      </c>
      <c r="D12" s="7">
        <v>8.5000000000000006E-2</v>
      </c>
      <c r="E12" s="7">
        <v>550</v>
      </c>
      <c r="F12" s="7">
        <f>B12*C12*D12*E12/1000</f>
        <v>41.888000000000005</v>
      </c>
    </row>
    <row r="13" spans="1:11" ht="15.75" x14ac:dyDescent="0.25">
      <c r="A13" s="3" t="s">
        <v>83</v>
      </c>
      <c r="B13" s="7">
        <f>'Таблица 2'!F4</f>
        <v>22.400000000000002</v>
      </c>
      <c r="C13" s="7">
        <v>3</v>
      </c>
      <c r="D13" s="7">
        <v>0.21</v>
      </c>
      <c r="E13" s="7">
        <v>550</v>
      </c>
      <c r="F13" s="7">
        <f>B13*C13*D13*E13/1000</f>
        <v>7.7616000000000005</v>
      </c>
    </row>
    <row r="14" spans="1:11" ht="15.75" x14ac:dyDescent="0.25">
      <c r="A14" s="3" t="s">
        <v>3</v>
      </c>
      <c r="B14" s="7">
        <f>SUM(B12:B13)</f>
        <v>134.4</v>
      </c>
      <c r="C14" s="7" t="s">
        <v>27</v>
      </c>
      <c r="D14" s="7" t="s">
        <v>27</v>
      </c>
      <c r="E14" s="7" t="s">
        <v>27</v>
      </c>
      <c r="F14" s="7">
        <f>SUM(F12:F13)</f>
        <v>49.649600000000007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zoomScale="60" zoomScaleNormal="60" workbookViewId="0">
      <selection activeCell="V18" sqref="V18"/>
    </sheetView>
  </sheetViews>
  <sheetFormatPr defaultRowHeight="15" x14ac:dyDescent="0.25"/>
  <cols>
    <col min="2" max="2" width="19.42578125" customWidth="1"/>
    <col min="3" max="4" width="9.140625" customWidth="1"/>
    <col min="10" max="10" width="12.140625" customWidth="1"/>
    <col min="11" max="11" width="26.140625" customWidth="1"/>
    <col min="13" max="13" width="14" customWidth="1"/>
    <col min="15" max="15" width="9.140625" customWidth="1"/>
    <col min="16" max="16" width="34.85546875" customWidth="1"/>
    <col min="17" max="17" width="18.5703125" customWidth="1"/>
    <col min="18" max="18" width="25.28515625" customWidth="1"/>
    <col min="19" max="19" width="21.42578125" customWidth="1"/>
  </cols>
  <sheetData>
    <row r="1" spans="1:25" ht="30" customHeight="1" x14ac:dyDescent="0.25">
      <c r="A1" s="136" t="s">
        <v>0</v>
      </c>
      <c r="B1" s="136" t="s">
        <v>43</v>
      </c>
      <c r="C1" s="136" t="s">
        <v>44</v>
      </c>
      <c r="D1" s="136"/>
      <c r="E1" s="136"/>
      <c r="F1" s="136"/>
      <c r="G1" s="136"/>
      <c r="H1" s="136"/>
      <c r="I1" s="136"/>
      <c r="P1" s="130" t="s">
        <v>105</v>
      </c>
      <c r="Q1" s="130" t="s">
        <v>56</v>
      </c>
      <c r="R1" s="144" t="s">
        <v>106</v>
      </c>
      <c r="S1" s="144"/>
      <c r="T1" s="33"/>
      <c r="U1" s="33"/>
      <c r="V1" s="33"/>
      <c r="W1" s="33"/>
      <c r="X1" s="24"/>
    </row>
    <row r="2" spans="1:25" ht="81" customHeight="1" x14ac:dyDescent="0.25">
      <c r="A2" s="136"/>
      <c r="B2" s="136"/>
      <c r="C2" s="107" t="s">
        <v>318</v>
      </c>
      <c r="D2" s="35" t="s">
        <v>319</v>
      </c>
      <c r="E2" s="35" t="s">
        <v>322</v>
      </c>
      <c r="F2" s="35" t="s">
        <v>320</v>
      </c>
      <c r="G2" s="35" t="s">
        <v>321</v>
      </c>
      <c r="H2" s="35" t="s">
        <v>90</v>
      </c>
      <c r="I2" s="16" t="s">
        <v>3</v>
      </c>
      <c r="P2" s="130"/>
      <c r="Q2" s="130"/>
      <c r="R2" s="19" t="s">
        <v>107</v>
      </c>
      <c r="S2" s="19" t="s">
        <v>108</v>
      </c>
      <c r="T2" s="24"/>
      <c r="U2" s="24"/>
      <c r="V2" s="24"/>
      <c r="W2" s="24"/>
      <c r="X2" s="24"/>
    </row>
    <row r="3" spans="1:25" ht="47.25" customHeight="1" x14ac:dyDescent="0.25">
      <c r="A3" s="112">
        <v>1</v>
      </c>
      <c r="B3" s="36" t="s">
        <v>61</v>
      </c>
      <c r="C3" s="118">
        <f>'Таблица 1'!E5</f>
        <v>2</v>
      </c>
      <c r="D3" s="118">
        <f>'Таблица 1'!F5</f>
        <v>12</v>
      </c>
      <c r="E3" s="118">
        <f>'Таблица 1'!G5</f>
        <v>11</v>
      </c>
      <c r="F3" s="118" t="s">
        <v>27</v>
      </c>
      <c r="G3" s="118" t="s">
        <v>27</v>
      </c>
      <c r="H3" s="118" t="s">
        <v>27</v>
      </c>
      <c r="I3" s="140">
        <f>C3+D3+E3</f>
        <v>25</v>
      </c>
      <c r="P3" s="16" t="str">
        <f>'Таблица 2'!O6</f>
        <v>Зубофрезерный 5А312</v>
      </c>
      <c r="Q3" s="16">
        <f>'Таблица 2'!P6</f>
        <v>1</v>
      </c>
      <c r="R3" s="19">
        <f>13*Q3</f>
        <v>13</v>
      </c>
      <c r="S3" s="16">
        <f>19*Q3</f>
        <v>19</v>
      </c>
      <c r="T3" s="24"/>
      <c r="U3" s="24"/>
      <c r="V3" s="24"/>
      <c r="W3" s="24"/>
      <c r="X3" s="24"/>
    </row>
    <row r="4" spans="1:25" ht="15.75" x14ac:dyDescent="0.25">
      <c r="A4" s="112"/>
      <c r="B4" s="18" t="s">
        <v>45</v>
      </c>
      <c r="C4" s="119"/>
      <c r="D4" s="119"/>
      <c r="E4" s="119"/>
      <c r="F4" s="119"/>
      <c r="G4" s="119"/>
      <c r="H4" s="119"/>
      <c r="I4" s="141"/>
      <c r="P4" s="16" t="str">
        <f>'Таблица 2'!O7</f>
        <v>Шлицешлифовальный3451В</v>
      </c>
      <c r="Q4" s="16">
        <f>'Таблица 2'!P7</f>
        <v>4</v>
      </c>
      <c r="R4" s="16">
        <f>22*Q4</f>
        <v>88</v>
      </c>
      <c r="S4" s="16">
        <f>15*Q4</f>
        <v>60</v>
      </c>
      <c r="T4" s="24"/>
      <c r="U4" s="24"/>
      <c r="V4" s="24"/>
      <c r="W4" s="24"/>
      <c r="X4" s="24"/>
    </row>
    <row r="5" spans="1:25" ht="15.75" x14ac:dyDescent="0.25">
      <c r="A5" s="112"/>
      <c r="B5" s="18" t="s">
        <v>46</v>
      </c>
      <c r="C5" s="16" t="s">
        <v>49</v>
      </c>
      <c r="D5" s="16" t="s">
        <v>49</v>
      </c>
      <c r="E5" s="16" t="s">
        <v>49</v>
      </c>
      <c r="F5" s="16">
        <f>'Таблица 1'!H6</f>
        <v>3</v>
      </c>
      <c r="G5" s="16">
        <f>'Таблица 1'!I6</f>
        <v>19</v>
      </c>
      <c r="H5" s="16">
        <f>'Таблица 1'!J6</f>
        <v>9</v>
      </c>
      <c r="I5" s="34">
        <f>F5+G5+H5</f>
        <v>31</v>
      </c>
      <c r="P5" s="16" t="str">
        <f>'Таблица 2'!O8</f>
        <v>Отрезная пила8642</v>
      </c>
      <c r="Q5" s="16">
        <f>'Таблица 2'!P8</f>
        <v>3</v>
      </c>
      <c r="R5" s="16">
        <f>6*Q5</f>
        <v>18</v>
      </c>
      <c r="S5" s="16">
        <f>2*Q5</f>
        <v>6</v>
      </c>
      <c r="T5" s="29"/>
      <c r="U5" s="139"/>
      <c r="V5" s="139"/>
      <c r="W5" s="139"/>
      <c r="X5" s="139"/>
      <c r="Y5" s="139"/>
    </row>
    <row r="6" spans="1:25" ht="47.25" x14ac:dyDescent="0.25">
      <c r="A6" s="112">
        <v>2</v>
      </c>
      <c r="B6" s="15" t="s">
        <v>91</v>
      </c>
      <c r="C6" s="118">
        <f>'Таблица 1'!E7</f>
        <v>2333.3333333333335</v>
      </c>
      <c r="D6" s="118">
        <f>'Таблица 1'!F7</f>
        <v>14000</v>
      </c>
      <c r="E6" s="118">
        <f>'Таблица 1'!G7</f>
        <v>12833.333333333334</v>
      </c>
      <c r="F6" s="118" t="s">
        <v>27</v>
      </c>
      <c r="G6" s="118" t="s">
        <v>27</v>
      </c>
      <c r="H6" s="118" t="s">
        <v>27</v>
      </c>
      <c r="I6" s="118">
        <f>C6+D6+E6</f>
        <v>29166.666666666668</v>
      </c>
      <c r="P6" s="16" t="str">
        <f>'Таблица 2'!O9</f>
        <v>Токарно-винторезный  165</v>
      </c>
      <c r="Q6" s="16">
        <f>'Таблица 2'!P9</f>
        <v>1</v>
      </c>
      <c r="R6" s="16">
        <f>18*Q6</f>
        <v>18</v>
      </c>
      <c r="S6" s="16">
        <f>11.5*Q6</f>
        <v>11.5</v>
      </c>
      <c r="T6" s="24"/>
      <c r="U6" s="24"/>
      <c r="V6" s="24"/>
      <c r="W6" s="24"/>
      <c r="X6" s="24"/>
    </row>
    <row r="7" spans="1:25" ht="15.75" x14ac:dyDescent="0.25">
      <c r="A7" s="112"/>
      <c r="B7" s="17" t="s">
        <v>45</v>
      </c>
      <c r="C7" s="119"/>
      <c r="D7" s="119"/>
      <c r="E7" s="119"/>
      <c r="F7" s="119"/>
      <c r="G7" s="119"/>
      <c r="H7" s="119"/>
      <c r="I7" s="119"/>
      <c r="P7" s="16" t="str">
        <f>'Таблица 2'!O10</f>
        <v>Зубозакругляющий55580</v>
      </c>
      <c r="Q7" s="16">
        <f>'Таблица 2'!P10</f>
        <v>5</v>
      </c>
      <c r="R7" s="16">
        <f>8*'Осн и вспом. раб'!Q7</f>
        <v>40</v>
      </c>
      <c r="S7" s="16">
        <f>9.5*Q7</f>
        <v>47.5</v>
      </c>
      <c r="T7" s="32"/>
      <c r="U7" s="24"/>
      <c r="V7" s="24"/>
      <c r="W7" s="24"/>
      <c r="X7" s="24"/>
      <c r="Y7" s="24"/>
    </row>
    <row r="8" spans="1:25" ht="15.75" x14ac:dyDescent="0.25">
      <c r="A8" s="112"/>
      <c r="B8" s="37" t="s">
        <v>73</v>
      </c>
      <c r="C8" s="16" t="s">
        <v>27</v>
      </c>
      <c r="D8" s="16" t="s">
        <v>26</v>
      </c>
      <c r="E8" s="16" t="s">
        <v>27</v>
      </c>
      <c r="F8" s="16">
        <f>'Таблица 1'!H8</f>
        <v>3000</v>
      </c>
      <c r="G8" s="16">
        <f>'Таблица 1'!I8</f>
        <v>19000</v>
      </c>
      <c r="H8" s="16">
        <f>'Таблица 1'!J8</f>
        <v>9000</v>
      </c>
      <c r="I8" s="16">
        <f>F8+G8+H8</f>
        <v>31000</v>
      </c>
      <c r="P8" s="16" t="str">
        <f>'Таблица 2'!O11</f>
        <v>Зубофрезерный5а312</v>
      </c>
      <c r="Q8" s="16">
        <f>'Таблица 2'!P11</f>
        <v>2</v>
      </c>
      <c r="R8" s="16">
        <f>13*Q8</f>
        <v>26</v>
      </c>
      <c r="S8" s="16">
        <f>19*Q8</f>
        <v>38</v>
      </c>
      <c r="T8" s="24"/>
      <c r="U8" s="24"/>
      <c r="V8" s="24"/>
      <c r="W8" s="24"/>
      <c r="X8" s="24"/>
      <c r="Y8" s="24"/>
    </row>
    <row r="9" spans="1:25" ht="47.25" x14ac:dyDescent="0.25">
      <c r="A9" s="16">
        <v>3</v>
      </c>
      <c r="B9" s="15" t="s">
        <v>74</v>
      </c>
      <c r="C9" s="16">
        <f>'Таблица 1'!E9</f>
        <v>2333.3333333333335</v>
      </c>
      <c r="D9" s="16">
        <f>'Таблица 1'!F9</f>
        <v>14000</v>
      </c>
      <c r="E9" s="16">
        <f>'Таблица 1'!G9</f>
        <v>12833.333333333334</v>
      </c>
      <c r="F9" s="16">
        <f>'Таблица 1'!H9</f>
        <v>3000</v>
      </c>
      <c r="G9" s="16">
        <f>'Таблица 1'!I9</f>
        <v>19000</v>
      </c>
      <c r="H9" s="16">
        <f>'Таблица 1'!J9</f>
        <v>9000</v>
      </c>
      <c r="I9" s="16">
        <f>'Таблица 1'!K9</f>
        <v>60166.666666666672</v>
      </c>
      <c r="P9" s="16" t="s">
        <v>3</v>
      </c>
      <c r="Q9" s="16">
        <f>SUM(Q3:Q8)</f>
        <v>16</v>
      </c>
      <c r="R9" s="16">
        <f>SUM(R3:R8)</f>
        <v>203</v>
      </c>
      <c r="S9" s="16">
        <f>SUM(S3:S8)</f>
        <v>182</v>
      </c>
      <c r="T9" s="24"/>
      <c r="U9" s="24"/>
      <c r="V9" s="24"/>
      <c r="W9" s="24"/>
      <c r="X9" s="24"/>
      <c r="Y9" s="24"/>
    </row>
    <row r="10" spans="1:25" ht="38.25" customHeight="1" x14ac:dyDescent="0.25">
      <c r="A10" s="16">
        <v>4</v>
      </c>
      <c r="B10" s="15" t="s">
        <v>75</v>
      </c>
      <c r="C10" s="16">
        <f>'Таблица 1'!E10</f>
        <v>1.1000000000000001</v>
      </c>
      <c r="D10" s="16">
        <f>'Таблица 1'!F10</f>
        <v>1.1000000000000001</v>
      </c>
      <c r="E10" s="16">
        <f>'Таблица 1'!G10</f>
        <v>1.1000000000000001</v>
      </c>
      <c r="F10" s="16">
        <f>'Таблица 1'!H10</f>
        <v>1.1000000000000001</v>
      </c>
      <c r="G10" s="16">
        <f>'Таблица 1'!I10</f>
        <v>1.1000000000000001</v>
      </c>
      <c r="H10" s="16">
        <f>'Таблица 1'!J10</f>
        <v>1.1000000000000001</v>
      </c>
      <c r="I10" s="16">
        <f>'Таблица 1'!K10</f>
        <v>1.1000000000000001</v>
      </c>
      <c r="P10" s="16"/>
      <c r="Q10" s="16"/>
      <c r="R10" s="105" t="s">
        <v>103</v>
      </c>
      <c r="S10" s="105" t="s">
        <v>104</v>
      </c>
    </row>
    <row r="11" spans="1:25" ht="66" customHeight="1" x14ac:dyDescent="0.25">
      <c r="A11" s="16">
        <v>5</v>
      </c>
      <c r="B11" s="39" t="s">
        <v>76</v>
      </c>
      <c r="C11" s="16">
        <f>C9/C10</f>
        <v>2121.212121212121</v>
      </c>
      <c r="D11" s="16">
        <f t="shared" ref="D11:H11" si="0">D9/D10</f>
        <v>12727.272727272726</v>
      </c>
      <c r="E11" s="16">
        <f t="shared" si="0"/>
        <v>11666.666666666666</v>
      </c>
      <c r="F11" s="16">
        <f t="shared" si="0"/>
        <v>2727.272727272727</v>
      </c>
      <c r="G11" s="16">
        <f t="shared" si="0"/>
        <v>17272.727272727272</v>
      </c>
      <c r="H11" s="16">
        <f t="shared" si="0"/>
        <v>8181.8181818181811</v>
      </c>
      <c r="I11" s="16">
        <f>SUM(C11:H11)</f>
        <v>54696.969696969696</v>
      </c>
      <c r="P11" s="16"/>
      <c r="Q11" s="16"/>
      <c r="R11" s="105">
        <v>1</v>
      </c>
      <c r="S11" s="105">
        <v>1</v>
      </c>
    </row>
    <row r="12" spans="1:25" ht="54.75" customHeight="1" x14ac:dyDescent="0.3">
      <c r="A12" s="16">
        <v>6</v>
      </c>
      <c r="B12" s="39" t="s">
        <v>77</v>
      </c>
      <c r="C12" s="16">
        <v>1754</v>
      </c>
      <c r="D12" s="16">
        <v>1754</v>
      </c>
      <c r="E12" s="16">
        <v>1754</v>
      </c>
      <c r="F12" s="16">
        <v>1754</v>
      </c>
      <c r="G12" s="16">
        <v>1754</v>
      </c>
      <c r="H12" s="16">
        <v>1754</v>
      </c>
      <c r="I12" s="16">
        <v>1754</v>
      </c>
      <c r="P12" s="101" t="s">
        <v>166</v>
      </c>
      <c r="Q12" s="106"/>
      <c r="R12" s="101">
        <v>4</v>
      </c>
      <c r="S12" s="101">
        <v>4</v>
      </c>
    </row>
    <row r="13" spans="1:25" ht="31.5" x14ac:dyDescent="0.25">
      <c r="A13" s="118">
        <v>7</v>
      </c>
      <c r="B13" s="39" t="s">
        <v>78</v>
      </c>
      <c r="C13" s="140">
        <f t="shared" ref="C13:H13" si="1">C11/C12</f>
        <v>1.2093569676237863</v>
      </c>
      <c r="D13" s="140">
        <f t="shared" si="1"/>
        <v>7.2561418057427174</v>
      </c>
      <c r="E13" s="140">
        <f t="shared" si="1"/>
        <v>6.6514633219308248</v>
      </c>
      <c r="F13" s="140">
        <f t="shared" si="1"/>
        <v>1.5548875298020108</v>
      </c>
      <c r="G13" s="140">
        <f t="shared" si="1"/>
        <v>9.8476210220794034</v>
      </c>
      <c r="H13" s="140">
        <f t="shared" si="1"/>
        <v>4.6646625894060323</v>
      </c>
      <c r="I13" s="140">
        <f>SUM(C13:H14)</f>
        <v>31.184133236584774</v>
      </c>
    </row>
    <row r="14" spans="1:25" ht="31.5" x14ac:dyDescent="0.25">
      <c r="A14" s="134"/>
      <c r="B14" s="39" t="s">
        <v>79</v>
      </c>
      <c r="C14" s="141"/>
      <c r="D14" s="141"/>
      <c r="E14" s="141"/>
      <c r="F14" s="141"/>
      <c r="G14" s="141"/>
      <c r="H14" s="141"/>
      <c r="I14" s="141"/>
    </row>
    <row r="15" spans="1:25" ht="15.75" x14ac:dyDescent="0.25">
      <c r="A15" s="119"/>
      <c r="B15" s="39" t="s">
        <v>80</v>
      </c>
      <c r="C15" s="108">
        <v>1</v>
      </c>
      <c r="D15" s="108">
        <v>8</v>
      </c>
      <c r="E15" s="108">
        <v>6</v>
      </c>
      <c r="F15" s="108">
        <v>2</v>
      </c>
      <c r="G15" s="108">
        <v>10</v>
      </c>
      <c r="H15" s="108">
        <v>4</v>
      </c>
      <c r="I15" s="49">
        <f>SUM(C15:H15)</f>
        <v>31</v>
      </c>
      <c r="J15" s="108">
        <f>I15*0.15</f>
        <v>4.6499999999999995</v>
      </c>
      <c r="K15" s="46" t="s">
        <v>167</v>
      </c>
    </row>
    <row r="16" spans="1:25" ht="15.7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54" t="s">
        <v>128</v>
      </c>
    </row>
    <row r="17" spans="1:21" ht="22.5" customHeight="1" x14ac:dyDescent="0.25">
      <c r="A17" s="47"/>
      <c r="B17" s="47"/>
      <c r="C17" s="47"/>
      <c r="D17" s="47"/>
      <c r="E17" s="47"/>
      <c r="F17" s="47"/>
      <c r="G17" s="47"/>
      <c r="H17" s="47"/>
      <c r="I17" s="47"/>
      <c r="M17" s="137"/>
      <c r="N17" s="137"/>
      <c r="O17" s="137"/>
      <c r="P17" s="137"/>
      <c r="Q17" s="137"/>
      <c r="R17" s="137"/>
      <c r="S17" s="137"/>
      <c r="T17" s="137"/>
      <c r="U17" s="137"/>
    </row>
    <row r="18" spans="1:21" ht="49.5" customHeight="1" x14ac:dyDescent="0.25">
      <c r="A18" s="116" t="s">
        <v>0</v>
      </c>
      <c r="B18" s="116" t="s">
        <v>92</v>
      </c>
      <c r="C18" s="169" t="s">
        <v>93</v>
      </c>
      <c r="D18" s="170"/>
      <c r="E18" s="171"/>
      <c r="F18" s="47" t="s">
        <v>166</v>
      </c>
      <c r="G18" s="47"/>
      <c r="H18" s="47"/>
      <c r="I18" s="47"/>
      <c r="M18" s="137"/>
      <c r="N18" s="43"/>
      <c r="O18" s="43"/>
      <c r="P18" s="138" t="s">
        <v>129</v>
      </c>
      <c r="Q18" s="138"/>
      <c r="R18" s="43"/>
      <c r="S18" s="43"/>
      <c r="T18" s="43"/>
      <c r="U18" s="43"/>
    </row>
    <row r="19" spans="1:21" ht="19.5" customHeight="1" x14ac:dyDescent="0.25">
      <c r="A19" s="117"/>
      <c r="B19" s="117"/>
      <c r="C19" s="169" t="s">
        <v>94</v>
      </c>
      <c r="D19" s="170"/>
      <c r="E19" s="171"/>
      <c r="F19" s="47"/>
      <c r="G19" s="47"/>
      <c r="H19" s="47"/>
      <c r="I19" s="47"/>
      <c r="M19" s="137"/>
      <c r="N19" s="44"/>
      <c r="O19" s="42"/>
      <c r="P19" s="56" t="s">
        <v>130</v>
      </c>
      <c r="Q19" s="56">
        <f>I15</f>
        <v>31</v>
      </c>
      <c r="R19" s="42"/>
      <c r="S19" s="42"/>
      <c r="T19" s="42"/>
      <c r="U19" s="42"/>
    </row>
    <row r="20" spans="1:21" ht="31.5" x14ac:dyDescent="0.25">
      <c r="A20" s="109">
        <v>1</v>
      </c>
      <c r="B20" s="111" t="s">
        <v>95</v>
      </c>
      <c r="C20" s="172">
        <v>1</v>
      </c>
      <c r="D20" s="173"/>
      <c r="E20" s="174"/>
      <c r="F20" s="60">
        <v>4</v>
      </c>
      <c r="G20" s="47"/>
      <c r="H20" s="47"/>
      <c r="I20" s="47"/>
      <c r="M20" s="137"/>
      <c r="N20" s="43"/>
      <c r="O20" s="43"/>
      <c r="P20" s="56" t="s">
        <v>131</v>
      </c>
      <c r="Q20" s="56">
        <f>C26+C27+R11+S11</f>
        <v>9</v>
      </c>
      <c r="R20" s="43"/>
      <c r="S20" s="43"/>
      <c r="T20" s="43"/>
      <c r="U20" s="43"/>
    </row>
    <row r="21" spans="1:21" ht="50.25" customHeight="1" x14ac:dyDescent="0.25">
      <c r="A21" s="109">
        <v>2</v>
      </c>
      <c r="B21" s="111" t="s">
        <v>96</v>
      </c>
      <c r="C21" s="169">
        <v>1</v>
      </c>
      <c r="D21" s="170"/>
      <c r="E21" s="171"/>
      <c r="F21" s="60">
        <v>3</v>
      </c>
      <c r="G21" s="47"/>
      <c r="H21" s="47"/>
      <c r="I21" s="47"/>
      <c r="M21" s="43"/>
      <c r="N21" s="44"/>
      <c r="O21" s="42"/>
      <c r="P21" s="56" t="s">
        <v>109</v>
      </c>
      <c r="Q21" s="66">
        <v>6</v>
      </c>
      <c r="R21" s="42"/>
      <c r="S21" s="42"/>
      <c r="T21" s="42"/>
      <c r="U21" s="42"/>
    </row>
    <row r="22" spans="1:21" ht="31.5" x14ac:dyDescent="0.25">
      <c r="A22" s="109">
        <v>3</v>
      </c>
      <c r="B22" s="111" t="s">
        <v>97</v>
      </c>
      <c r="C22" s="169">
        <v>1</v>
      </c>
      <c r="D22" s="170"/>
      <c r="E22" s="171"/>
      <c r="F22" s="60">
        <v>3</v>
      </c>
      <c r="G22" s="47"/>
      <c r="H22" s="47"/>
      <c r="I22" s="47"/>
      <c r="M22" s="43"/>
      <c r="N22" s="44"/>
      <c r="O22" s="42"/>
      <c r="P22" s="56" t="s">
        <v>3</v>
      </c>
      <c r="Q22" s="66">
        <f>Q19+Q20+Q21</f>
        <v>46</v>
      </c>
      <c r="R22" s="42"/>
      <c r="S22" s="42"/>
      <c r="T22" s="42"/>
      <c r="U22" s="42"/>
    </row>
    <row r="23" spans="1:21" ht="47.25" x14ac:dyDescent="0.25">
      <c r="A23" s="109">
        <v>4</v>
      </c>
      <c r="B23" s="111" t="s">
        <v>98</v>
      </c>
      <c r="C23" s="169">
        <v>1</v>
      </c>
      <c r="D23" s="170"/>
      <c r="E23" s="171"/>
      <c r="F23" s="60">
        <v>3</v>
      </c>
      <c r="G23" s="47"/>
      <c r="H23" s="47"/>
      <c r="I23" s="47"/>
    </row>
    <row r="24" spans="1:21" ht="63" x14ac:dyDescent="0.25">
      <c r="A24" s="109">
        <v>5</v>
      </c>
      <c r="B24" s="111" t="s">
        <v>99</v>
      </c>
      <c r="C24" s="172">
        <v>1</v>
      </c>
      <c r="D24" s="173"/>
      <c r="E24" s="174"/>
      <c r="F24" s="60">
        <v>4</v>
      </c>
      <c r="G24" s="47"/>
      <c r="H24" s="47"/>
      <c r="I24" s="47"/>
    </row>
    <row r="25" spans="1:21" ht="39" customHeight="1" x14ac:dyDescent="0.25">
      <c r="A25" s="109">
        <v>6</v>
      </c>
      <c r="B25" s="111" t="s">
        <v>100</v>
      </c>
      <c r="C25" s="169">
        <v>1</v>
      </c>
      <c r="D25" s="170"/>
      <c r="E25" s="171"/>
      <c r="F25" s="60">
        <v>3</v>
      </c>
      <c r="G25" s="47"/>
      <c r="H25" s="47"/>
      <c r="I25" s="47"/>
    </row>
    <row r="26" spans="1:21" ht="15.75" x14ac:dyDescent="0.25">
      <c r="A26" s="175" t="s">
        <v>3</v>
      </c>
      <c r="B26" s="176"/>
      <c r="C26" s="175">
        <f>SUM(C20:E25)</f>
        <v>6</v>
      </c>
      <c r="D26" s="177"/>
      <c r="E26" s="176"/>
      <c r="F26" s="47"/>
      <c r="G26" s="47"/>
      <c r="H26" s="47"/>
      <c r="I26" s="47"/>
    </row>
    <row r="27" spans="1:21" ht="15.75" customHeight="1" x14ac:dyDescent="0.25">
      <c r="A27" s="178" t="s">
        <v>102</v>
      </c>
      <c r="B27" s="179"/>
      <c r="C27" s="180">
        <v>1</v>
      </c>
      <c r="D27" s="181"/>
      <c r="E27" s="182"/>
      <c r="F27" s="47"/>
      <c r="G27" s="47"/>
      <c r="H27" s="47">
        <f>C21+C22+C23+C27</f>
        <v>4</v>
      </c>
      <c r="I27" s="47"/>
    </row>
    <row r="28" spans="1:21" x14ac:dyDescent="0.25">
      <c r="A28" s="142"/>
      <c r="B28" s="142"/>
    </row>
    <row r="29" spans="1:21" x14ac:dyDescent="0.25">
      <c r="A29" s="143"/>
      <c r="B29" s="143"/>
    </row>
  </sheetData>
  <mergeCells count="50">
    <mergeCell ref="A28:B28"/>
    <mergeCell ref="A29:B29"/>
    <mergeCell ref="P1:P2"/>
    <mergeCell ref="Q1:Q2"/>
    <mergeCell ref="R1:S1"/>
    <mergeCell ref="A6:A8"/>
    <mergeCell ref="A13:A15"/>
    <mergeCell ref="H6:H7"/>
    <mergeCell ref="I6:I7"/>
    <mergeCell ref="C13:C14"/>
    <mergeCell ref="D13:D14"/>
    <mergeCell ref="E13:E14"/>
    <mergeCell ref="F13:F14"/>
    <mergeCell ref="G13:G14"/>
    <mergeCell ref="H13:H14"/>
    <mergeCell ref="I13:I14"/>
    <mergeCell ref="U5:Y5"/>
    <mergeCell ref="C1:I1"/>
    <mergeCell ref="B1:B2"/>
    <mergeCell ref="A1:A2"/>
    <mergeCell ref="A3:A5"/>
    <mergeCell ref="C3:C4"/>
    <mergeCell ref="D3:D4"/>
    <mergeCell ref="E3:E4"/>
    <mergeCell ref="F3:F4"/>
    <mergeCell ref="G3:G4"/>
    <mergeCell ref="H3:H4"/>
    <mergeCell ref="I3:I4"/>
    <mergeCell ref="C6:C7"/>
    <mergeCell ref="D6:D7"/>
    <mergeCell ref="E6:E7"/>
    <mergeCell ref="F6:F7"/>
    <mergeCell ref="G6:G7"/>
    <mergeCell ref="N17:U17"/>
    <mergeCell ref="C21:E21"/>
    <mergeCell ref="C22:E22"/>
    <mergeCell ref="C18:E18"/>
    <mergeCell ref="C19:E19"/>
    <mergeCell ref="C20:E20"/>
    <mergeCell ref="P18:Q18"/>
    <mergeCell ref="C27:E27"/>
    <mergeCell ref="A27:B27"/>
    <mergeCell ref="C26:E26"/>
    <mergeCell ref="A26:B26"/>
    <mergeCell ref="M17:M20"/>
    <mergeCell ref="C23:E23"/>
    <mergeCell ref="C24:E24"/>
    <mergeCell ref="C25:E25"/>
    <mergeCell ref="A18:A19"/>
    <mergeCell ref="B18:B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zoomScale="80" zoomScaleNormal="80" workbookViewId="0">
      <selection activeCell="C5" sqref="C5"/>
    </sheetView>
  </sheetViews>
  <sheetFormatPr defaultRowHeight="15" x14ac:dyDescent="0.25"/>
  <cols>
    <col min="1" max="1" width="29.85546875" customWidth="1"/>
    <col min="2" max="2" width="33.42578125" customWidth="1"/>
    <col min="3" max="3" width="19.140625" customWidth="1"/>
    <col min="4" max="4" width="12.42578125" customWidth="1"/>
  </cols>
  <sheetData>
    <row r="1" spans="1:5" ht="47.25" customHeight="1" x14ac:dyDescent="0.25">
      <c r="A1" s="130" t="s">
        <v>111</v>
      </c>
      <c r="B1" s="130" t="s">
        <v>110</v>
      </c>
      <c r="C1" s="130" t="s">
        <v>112</v>
      </c>
      <c r="D1" s="130"/>
    </row>
    <row r="2" spans="1:5" ht="15.75" x14ac:dyDescent="0.25">
      <c r="A2" s="130"/>
      <c r="B2" s="130"/>
      <c r="C2" s="45">
        <v>150</v>
      </c>
      <c r="D2" s="48"/>
    </row>
    <row r="3" spans="1:5" ht="32.25" customHeight="1" x14ac:dyDescent="0.25">
      <c r="A3" s="48" t="s">
        <v>113</v>
      </c>
      <c r="B3" s="48" t="s">
        <v>114</v>
      </c>
      <c r="C3" s="45">
        <v>1</v>
      </c>
      <c r="D3" s="48"/>
    </row>
    <row r="4" spans="1:5" ht="15.75" x14ac:dyDescent="0.25">
      <c r="A4" s="145"/>
      <c r="B4" s="48" t="s">
        <v>115</v>
      </c>
      <c r="C4" s="45">
        <v>1</v>
      </c>
      <c r="D4" s="48"/>
    </row>
    <row r="5" spans="1:5" ht="15.75" x14ac:dyDescent="0.25">
      <c r="A5" s="145"/>
      <c r="B5" s="48" t="s">
        <v>116</v>
      </c>
      <c r="C5" s="45">
        <v>0.5</v>
      </c>
      <c r="D5" s="48"/>
    </row>
    <row r="6" spans="1:5" ht="31.5" x14ac:dyDescent="0.25">
      <c r="A6" s="145"/>
      <c r="B6" s="48" t="s">
        <v>118</v>
      </c>
      <c r="C6" s="45">
        <v>0.5</v>
      </c>
      <c r="D6" s="48"/>
    </row>
    <row r="7" spans="1:5" ht="15.75" x14ac:dyDescent="0.25">
      <c r="A7" s="145" t="s">
        <v>117</v>
      </c>
      <c r="B7" s="48" t="s">
        <v>119</v>
      </c>
      <c r="C7" s="45">
        <v>0.5</v>
      </c>
      <c r="D7" s="48"/>
    </row>
    <row r="8" spans="1:5" ht="15.75" x14ac:dyDescent="0.25">
      <c r="A8" s="145"/>
      <c r="B8" s="48" t="s">
        <v>120</v>
      </c>
      <c r="C8" s="45">
        <v>0.33</v>
      </c>
      <c r="D8" s="48"/>
    </row>
    <row r="9" spans="1:5" ht="31.5" x14ac:dyDescent="0.25">
      <c r="A9" s="145"/>
      <c r="B9" s="48" t="s">
        <v>121</v>
      </c>
      <c r="C9" s="45">
        <v>0.33</v>
      </c>
      <c r="D9" s="48"/>
    </row>
    <row r="10" spans="1:5" ht="15.75" x14ac:dyDescent="0.25">
      <c r="A10" s="48" t="s">
        <v>122</v>
      </c>
      <c r="B10" s="48" t="s">
        <v>124</v>
      </c>
      <c r="C10" s="45">
        <v>0.33</v>
      </c>
      <c r="D10" s="48"/>
    </row>
    <row r="11" spans="1:5" ht="15.75" x14ac:dyDescent="0.25">
      <c r="A11" s="48" t="s">
        <v>123</v>
      </c>
      <c r="B11" s="48" t="s">
        <v>125</v>
      </c>
      <c r="C11" s="45">
        <v>0.5</v>
      </c>
      <c r="D11" s="48"/>
    </row>
    <row r="12" spans="1:5" ht="15.75" x14ac:dyDescent="0.25">
      <c r="A12" s="62"/>
      <c r="B12" s="48" t="s">
        <v>126</v>
      </c>
      <c r="C12" s="45">
        <v>0.5</v>
      </c>
      <c r="D12" s="48"/>
    </row>
    <row r="13" spans="1:5" ht="15.75" x14ac:dyDescent="0.25">
      <c r="A13" s="145"/>
      <c r="B13" s="130" t="s">
        <v>127</v>
      </c>
      <c r="C13" s="146">
        <f>'Осн и вспом. раб'!I15/25</f>
        <v>1.24</v>
      </c>
      <c r="D13" s="48"/>
    </row>
    <row r="14" spans="1:5" ht="15.75" x14ac:dyDescent="0.25">
      <c r="A14" s="145"/>
      <c r="B14" s="130"/>
      <c r="C14" s="147"/>
      <c r="D14" s="48"/>
      <c r="E14" s="55"/>
    </row>
    <row r="15" spans="1:5" ht="15.75" x14ac:dyDescent="0.25">
      <c r="A15" s="145"/>
      <c r="B15" s="130"/>
      <c r="C15" s="148"/>
      <c r="D15" s="48"/>
    </row>
    <row r="16" spans="1:5" ht="15.75" x14ac:dyDescent="0.25">
      <c r="A16" s="3" t="s">
        <v>3</v>
      </c>
      <c r="B16" s="3"/>
      <c r="C16" s="65">
        <f>SUM(C3:C15)</f>
        <v>6.73</v>
      </c>
      <c r="D16" s="64"/>
    </row>
  </sheetData>
  <mergeCells count="8">
    <mergeCell ref="A13:A15"/>
    <mergeCell ref="A1:A2"/>
    <mergeCell ref="B1:B2"/>
    <mergeCell ref="C1:D1"/>
    <mergeCell ref="A4:A6"/>
    <mergeCell ref="A7:A9"/>
    <mergeCell ref="B13:B15"/>
    <mergeCell ref="C13:C1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topLeftCell="A4" zoomScale="60" zoomScaleNormal="60" workbookViewId="0">
      <selection activeCell="N16" sqref="N16"/>
    </sheetView>
  </sheetViews>
  <sheetFormatPr defaultRowHeight="15" x14ac:dyDescent="0.25"/>
  <cols>
    <col min="2" max="2" width="29.5703125" customWidth="1"/>
    <col min="3" max="3" width="21.5703125" customWidth="1"/>
    <col min="4" max="4" width="18.5703125" customWidth="1"/>
    <col min="5" max="5" width="17.85546875" customWidth="1"/>
    <col min="6" max="6" width="20.42578125" customWidth="1"/>
    <col min="11" max="11" width="23.5703125" customWidth="1"/>
    <col min="12" max="12" width="17.85546875" customWidth="1"/>
    <col min="13" max="13" width="19.140625" customWidth="1"/>
    <col min="14" max="14" width="25.5703125" customWidth="1"/>
    <col min="15" max="15" width="23.42578125" customWidth="1"/>
    <col min="19" max="19" width="29.140625" customWidth="1"/>
    <col min="20" max="20" width="25.28515625" customWidth="1"/>
    <col min="21" max="21" width="19.85546875" customWidth="1"/>
    <col min="22" max="22" width="15.28515625" customWidth="1"/>
    <col min="23" max="23" width="15.140625" customWidth="1"/>
  </cols>
  <sheetData>
    <row r="1" spans="1:23" ht="51.75" customHeight="1" x14ac:dyDescent="0.25">
      <c r="A1" s="45" t="s">
        <v>0</v>
      </c>
      <c r="B1" s="45" t="s">
        <v>132</v>
      </c>
      <c r="C1" s="45" t="s">
        <v>133</v>
      </c>
      <c r="D1" s="45" t="s">
        <v>156</v>
      </c>
      <c r="E1" s="45" t="s">
        <v>134</v>
      </c>
      <c r="F1" s="45" t="s">
        <v>135</v>
      </c>
      <c r="J1" s="52" t="s">
        <v>0</v>
      </c>
      <c r="K1" s="52" t="s">
        <v>132</v>
      </c>
      <c r="L1" s="52" t="s">
        <v>133</v>
      </c>
      <c r="M1" s="52" t="s">
        <v>156</v>
      </c>
      <c r="N1" s="52" t="s">
        <v>134</v>
      </c>
      <c r="O1" s="52" t="s">
        <v>135</v>
      </c>
      <c r="R1" s="52" t="s">
        <v>0</v>
      </c>
      <c r="S1" s="52" t="s">
        <v>132</v>
      </c>
      <c r="T1" s="52" t="s">
        <v>133</v>
      </c>
      <c r="U1" s="52" t="s">
        <v>156</v>
      </c>
      <c r="V1" s="52" t="s">
        <v>134</v>
      </c>
      <c r="W1" s="52" t="s">
        <v>135</v>
      </c>
    </row>
    <row r="2" spans="1:23" ht="15.75" x14ac:dyDescent="0.25">
      <c r="A2" s="45">
        <v>1</v>
      </c>
      <c r="B2" s="45">
        <v>2</v>
      </c>
      <c r="C2" s="45">
        <v>3</v>
      </c>
      <c r="D2" s="45">
        <v>4</v>
      </c>
      <c r="E2" s="45">
        <v>5</v>
      </c>
      <c r="F2" s="45">
        <v>6</v>
      </c>
      <c r="J2" s="52">
        <v>1</v>
      </c>
      <c r="K2" s="52">
        <v>2</v>
      </c>
      <c r="L2" s="52">
        <v>3</v>
      </c>
      <c r="M2" s="52">
        <v>4</v>
      </c>
      <c r="N2" s="52">
        <v>5</v>
      </c>
      <c r="O2" s="52">
        <v>6</v>
      </c>
      <c r="R2" s="52">
        <v>1</v>
      </c>
      <c r="S2" s="52">
        <v>2</v>
      </c>
      <c r="T2" s="52">
        <v>3</v>
      </c>
      <c r="U2" s="52">
        <v>4</v>
      </c>
      <c r="V2" s="52">
        <v>5</v>
      </c>
      <c r="W2" s="52">
        <v>6</v>
      </c>
    </row>
    <row r="3" spans="1:23" ht="87" customHeight="1" x14ac:dyDescent="0.25">
      <c r="A3" s="130">
        <v>1</v>
      </c>
      <c r="B3" s="48" t="s">
        <v>136</v>
      </c>
      <c r="C3" s="45"/>
      <c r="D3" s="45"/>
      <c r="E3" s="48"/>
      <c r="F3" s="48"/>
      <c r="J3" s="130">
        <v>1</v>
      </c>
      <c r="K3" s="59" t="s">
        <v>136</v>
      </c>
      <c r="L3" s="52"/>
      <c r="M3" s="52"/>
      <c r="N3" s="59"/>
      <c r="O3" s="59"/>
      <c r="R3" s="130">
        <v>1</v>
      </c>
      <c r="S3" s="59" t="s">
        <v>136</v>
      </c>
      <c r="T3" s="52"/>
      <c r="U3" s="52"/>
      <c r="V3" s="59"/>
      <c r="W3" s="59"/>
    </row>
    <row r="4" spans="1:23" ht="15.75" x14ac:dyDescent="0.25">
      <c r="A4" s="130"/>
      <c r="B4" s="48" t="s">
        <v>137</v>
      </c>
      <c r="C4" s="57">
        <f>'Осн и вспом. раб'!C6+'Осн и вспом. раб'!E6+'Осн и вспом. раб'!G8</f>
        <v>34166.666666666672</v>
      </c>
      <c r="D4" s="45">
        <v>27.85</v>
      </c>
      <c r="E4" s="57">
        <f>C4*D4/1000</f>
        <v>951.54166666666686</v>
      </c>
      <c r="F4" s="57">
        <f>E4/E6*F6</f>
        <v>56.013181996116835</v>
      </c>
      <c r="J4" s="130"/>
      <c r="K4" s="59" t="s">
        <v>137</v>
      </c>
      <c r="L4" s="73">
        <f>'Осн и вспом. раб'!C6+'Осн и вспом. раб'!E6</f>
        <v>15166.666666666668</v>
      </c>
      <c r="M4" s="52">
        <v>27.85</v>
      </c>
      <c r="N4" s="57">
        <f>L4*M4/1000</f>
        <v>422.39166666666677</v>
      </c>
      <c r="O4" s="57">
        <f>N4/N6*O6</f>
        <v>51.214405952498844</v>
      </c>
      <c r="R4" s="130"/>
      <c r="S4" s="59" t="s">
        <v>137</v>
      </c>
      <c r="T4" s="57">
        <f>'Осн и вспом. раб'!G8</f>
        <v>19000</v>
      </c>
      <c r="U4" s="52">
        <v>27.85</v>
      </c>
      <c r="V4" s="57">
        <f>T4*U4/1000</f>
        <v>529.15</v>
      </c>
      <c r="W4" s="57">
        <f>V4/V6*W6</f>
        <v>60.541400180771831</v>
      </c>
    </row>
    <row r="5" spans="1:23" ht="15.75" x14ac:dyDescent="0.25">
      <c r="A5" s="130"/>
      <c r="B5" s="48" t="s">
        <v>138</v>
      </c>
      <c r="C5" s="57">
        <f>'Осн и вспом. раб'!D6+'Осн и вспом. раб'!F8+'Осн и вспом. раб'!H8</f>
        <v>26000</v>
      </c>
      <c r="D5" s="45">
        <v>28.74</v>
      </c>
      <c r="E5" s="57">
        <f>C5*D5/1000</f>
        <v>747.24</v>
      </c>
      <c r="F5" s="57">
        <f>E5/E6*F6</f>
        <v>43.986818003883172</v>
      </c>
      <c r="J5" s="130"/>
      <c r="K5" s="59" t="s">
        <v>138</v>
      </c>
      <c r="L5" s="73">
        <f>'Осн и вспом. раб'!D6</f>
        <v>14000</v>
      </c>
      <c r="M5" s="52">
        <v>28.74</v>
      </c>
      <c r="N5" s="57">
        <f>L5*M5/1000</f>
        <v>402.36</v>
      </c>
      <c r="O5" s="57">
        <f>N5/N6*O6</f>
        <v>48.785594047501164</v>
      </c>
      <c r="R5" s="130"/>
      <c r="S5" s="59" t="s">
        <v>138</v>
      </c>
      <c r="T5" s="57">
        <f>'Осн и вспом. раб'!F8+'Осн и вспом. раб'!H8</f>
        <v>12000</v>
      </c>
      <c r="U5" s="52">
        <v>28.74</v>
      </c>
      <c r="V5" s="57">
        <f>T5*U5/1000</f>
        <v>344.88</v>
      </c>
      <c r="W5" s="57">
        <f>V5/V6*W6</f>
        <v>39.458599819228176</v>
      </c>
    </row>
    <row r="6" spans="1:23" ht="22.5" customHeight="1" x14ac:dyDescent="0.25">
      <c r="A6" s="45">
        <v>2</v>
      </c>
      <c r="B6" s="145" t="s">
        <v>139</v>
      </c>
      <c r="C6" s="145"/>
      <c r="D6" s="145"/>
      <c r="E6" s="57">
        <f>E4+E5</f>
        <v>1698.7816666666668</v>
      </c>
      <c r="F6" s="45">
        <v>100</v>
      </c>
      <c r="J6" s="52">
        <v>2</v>
      </c>
      <c r="K6" s="145" t="s">
        <v>139</v>
      </c>
      <c r="L6" s="145"/>
      <c r="M6" s="145"/>
      <c r="N6" s="57">
        <f>N4+N5</f>
        <v>824.75166666666678</v>
      </c>
      <c r="O6" s="52">
        <v>100</v>
      </c>
      <c r="R6" s="52">
        <v>2</v>
      </c>
      <c r="S6" s="145" t="s">
        <v>139</v>
      </c>
      <c r="T6" s="145"/>
      <c r="U6" s="145"/>
      <c r="V6" s="57">
        <f>V4+V5</f>
        <v>874.03</v>
      </c>
      <c r="W6" s="52">
        <v>100</v>
      </c>
    </row>
    <row r="7" spans="1:23" ht="31.5" customHeight="1" x14ac:dyDescent="0.25">
      <c r="A7" s="130">
        <v>3</v>
      </c>
      <c r="B7" s="145" t="s">
        <v>140</v>
      </c>
      <c r="C7" s="145"/>
      <c r="D7" s="145"/>
      <c r="E7" s="57">
        <f>SUM(E8:E11)</f>
        <v>154.58913166666667</v>
      </c>
      <c r="F7" s="104">
        <f>F8+F9+F10+F11</f>
        <v>9.1</v>
      </c>
      <c r="J7" s="130">
        <v>3</v>
      </c>
      <c r="K7" s="145" t="s">
        <v>140</v>
      </c>
      <c r="L7" s="145"/>
      <c r="M7" s="145"/>
      <c r="N7" s="57">
        <f>SUM(N8:N11)</f>
        <v>75.052401666666668</v>
      </c>
      <c r="O7" s="52">
        <f>O8+O9+O10+O11</f>
        <v>9.1</v>
      </c>
      <c r="R7" s="130">
        <v>3</v>
      </c>
      <c r="S7" s="145" t="s">
        <v>140</v>
      </c>
      <c r="T7" s="145"/>
      <c r="U7" s="145"/>
      <c r="V7" s="57">
        <f>SUM(V8:V11)</f>
        <v>79.536730000000006</v>
      </c>
      <c r="W7" s="52"/>
    </row>
    <row r="8" spans="1:23" ht="15.75" customHeight="1" x14ac:dyDescent="0.25">
      <c r="A8" s="130"/>
      <c r="B8" s="145" t="s">
        <v>141</v>
      </c>
      <c r="C8" s="145"/>
      <c r="D8" s="145"/>
      <c r="E8" s="45">
        <f>E6*12.5*0.4/100</f>
        <v>84.939083333333343</v>
      </c>
      <c r="F8" s="45">
        <f>F6*12.5*0.4/100</f>
        <v>5</v>
      </c>
      <c r="J8" s="130"/>
      <c r="K8" s="145" t="s">
        <v>141</v>
      </c>
      <c r="L8" s="145"/>
      <c r="M8" s="145"/>
      <c r="N8" s="52">
        <f>N6*12.5*0.4/100</f>
        <v>41.23758333333334</v>
      </c>
      <c r="O8" s="52">
        <f>O6*12.5*0.4/100</f>
        <v>5</v>
      </c>
      <c r="R8" s="130"/>
      <c r="S8" s="145" t="s">
        <v>141</v>
      </c>
      <c r="T8" s="145"/>
      <c r="U8" s="145"/>
      <c r="V8" s="52">
        <f>V6*12.5*0.4/100</f>
        <v>43.701500000000003</v>
      </c>
      <c r="W8" s="52" t="s">
        <v>145</v>
      </c>
    </row>
    <row r="9" spans="1:23" ht="31.5" customHeight="1" x14ac:dyDescent="0.25">
      <c r="A9" s="130"/>
      <c r="B9" s="145" t="s">
        <v>142</v>
      </c>
      <c r="C9" s="145"/>
      <c r="D9" s="145"/>
      <c r="E9" s="57">
        <f>E6/'Осн и вспом. раб'!I15*0.2*'Осн и вспом. раб'!I15/20</f>
        <v>16.987816666666667</v>
      </c>
      <c r="F9" s="45">
        <f>F6/'Осн и вспом. раб'!I15*0.2*'Осн и вспом. раб'!I15/20</f>
        <v>1</v>
      </c>
      <c r="J9" s="130"/>
      <c r="K9" s="145" t="s">
        <v>142</v>
      </c>
      <c r="L9" s="145"/>
      <c r="M9" s="145"/>
      <c r="N9" s="57">
        <f>N6/'Осн и вспом. раб'!I15*0.2*'Осн и вспом. раб'!I15/20</f>
        <v>8.2475166666666677</v>
      </c>
      <c r="O9" s="52">
        <f>O6/'Осн и вспом. раб'!I15*0.2*'Осн и вспом. раб'!I15/20</f>
        <v>1</v>
      </c>
      <c r="R9" s="130"/>
      <c r="S9" s="145" t="s">
        <v>142</v>
      </c>
      <c r="T9" s="145"/>
      <c r="U9" s="145"/>
      <c r="V9" s="57">
        <f>V6/'Осн и вспом. раб'!I15*0.2*'Осн и вспом. раб'!I15/20</f>
        <v>8.7403000000000013</v>
      </c>
      <c r="W9" s="52" t="s">
        <v>145</v>
      </c>
    </row>
    <row r="10" spans="1:23" ht="15.75" customHeight="1" x14ac:dyDescent="0.25">
      <c r="A10" s="130"/>
      <c r="B10" s="145" t="s">
        <v>143</v>
      </c>
      <c r="C10" s="145"/>
      <c r="D10" s="145"/>
      <c r="E10" s="57">
        <f>E6*F10/100</f>
        <v>1.6987816666666669</v>
      </c>
      <c r="F10" s="45">
        <v>0.1</v>
      </c>
      <c r="J10" s="130"/>
      <c r="K10" s="145" t="s">
        <v>143</v>
      </c>
      <c r="L10" s="145"/>
      <c r="M10" s="145"/>
      <c r="N10" s="57">
        <f>N6*O10/100</f>
        <v>0.82475166666666677</v>
      </c>
      <c r="O10" s="52">
        <v>0.1</v>
      </c>
      <c r="R10" s="130"/>
      <c r="S10" s="145" t="s">
        <v>143</v>
      </c>
      <c r="T10" s="145"/>
      <c r="U10" s="145"/>
      <c r="V10" s="57">
        <f>V6*W10/100</f>
        <v>0.87403000000000008</v>
      </c>
      <c r="W10" s="52">
        <v>0.1</v>
      </c>
    </row>
    <row r="11" spans="1:23" ht="31.5" customHeight="1" x14ac:dyDescent="0.25">
      <c r="A11" s="130"/>
      <c r="B11" s="145" t="s">
        <v>144</v>
      </c>
      <c r="C11" s="145"/>
      <c r="D11" s="145"/>
      <c r="E11" s="45">
        <f>E6*F11/100</f>
        <v>50.963450000000002</v>
      </c>
      <c r="F11" s="45">
        <v>3</v>
      </c>
      <c r="J11" s="130"/>
      <c r="K11" s="145" t="s">
        <v>144</v>
      </c>
      <c r="L11" s="145"/>
      <c r="M11" s="145"/>
      <c r="N11" s="52">
        <f>N6*O11/100</f>
        <v>24.742550000000001</v>
      </c>
      <c r="O11" s="52">
        <v>3</v>
      </c>
      <c r="R11" s="130"/>
      <c r="S11" s="145" t="s">
        <v>144</v>
      </c>
      <c r="T11" s="145"/>
      <c r="U11" s="145"/>
      <c r="V11" s="52">
        <f>V6*W11/100</f>
        <v>26.2209</v>
      </c>
      <c r="W11" s="52">
        <v>3</v>
      </c>
    </row>
    <row r="12" spans="1:23" ht="15.75" x14ac:dyDescent="0.25">
      <c r="A12" s="45">
        <v>4</v>
      </c>
      <c r="B12" s="145" t="s">
        <v>146</v>
      </c>
      <c r="C12" s="145"/>
      <c r="D12" s="145"/>
      <c r="E12" s="45">
        <f>E6*F12/100</f>
        <v>424.69541666666669</v>
      </c>
      <c r="F12" s="45">
        <v>25</v>
      </c>
      <c r="J12" s="52">
        <v>4</v>
      </c>
      <c r="K12" s="145" t="s">
        <v>146</v>
      </c>
      <c r="L12" s="145"/>
      <c r="M12" s="145"/>
      <c r="N12" s="52">
        <f>N6*O12/100</f>
        <v>206.18791666666667</v>
      </c>
      <c r="O12" s="52">
        <v>25</v>
      </c>
      <c r="R12" s="52">
        <v>4</v>
      </c>
      <c r="S12" s="145" t="s">
        <v>146</v>
      </c>
      <c r="T12" s="145"/>
      <c r="U12" s="145"/>
      <c r="V12" s="52">
        <f>V6*W12/100</f>
        <v>218.50749999999999</v>
      </c>
      <c r="W12" s="52">
        <v>25</v>
      </c>
    </row>
    <row r="13" spans="1:23" ht="31.5" customHeight="1" x14ac:dyDescent="0.25">
      <c r="A13" s="45">
        <v>5</v>
      </c>
      <c r="B13" s="145" t="s">
        <v>147</v>
      </c>
      <c r="C13" s="145"/>
      <c r="D13" s="145"/>
      <c r="E13" s="57">
        <f>E6+E7+E12</f>
        <v>2278.0662149999998</v>
      </c>
      <c r="F13" s="45">
        <f>F6+F7+F12</f>
        <v>134.1</v>
      </c>
      <c r="J13" s="52">
        <v>5</v>
      </c>
      <c r="K13" s="145" t="s">
        <v>147</v>
      </c>
      <c r="L13" s="145"/>
      <c r="M13" s="145"/>
      <c r="N13" s="57">
        <f>N6+N7+N12</f>
        <v>1105.9919850000001</v>
      </c>
      <c r="O13" s="52">
        <f>O6+O7+O12</f>
        <v>134.1</v>
      </c>
      <c r="R13" s="52">
        <v>5</v>
      </c>
      <c r="S13" s="145" t="s">
        <v>147</v>
      </c>
      <c r="T13" s="145"/>
      <c r="U13" s="145"/>
      <c r="V13" s="57">
        <f>V6+V7+V12</f>
        <v>1172.0742299999999</v>
      </c>
      <c r="W13" s="52"/>
    </row>
    <row r="14" spans="1:23" ht="31.5" customHeight="1" x14ac:dyDescent="0.25">
      <c r="A14" s="45">
        <v>6</v>
      </c>
      <c r="B14" s="145" t="s">
        <v>148</v>
      </c>
      <c r="C14" s="145"/>
      <c r="D14" s="145"/>
      <c r="E14" s="45">
        <f>E13*0.15</f>
        <v>341.70993224999995</v>
      </c>
      <c r="F14" s="45">
        <f>F13*0.15</f>
        <v>20.114999999999998</v>
      </c>
      <c r="J14" s="52">
        <v>6</v>
      </c>
      <c r="K14" s="145" t="s">
        <v>148</v>
      </c>
      <c r="L14" s="145"/>
      <c r="M14" s="145"/>
      <c r="N14" s="52">
        <f>N13*0.15</f>
        <v>165.89879775</v>
      </c>
      <c r="O14" s="52">
        <f>O13*0.15</f>
        <v>20.114999999999998</v>
      </c>
      <c r="R14" s="52">
        <v>6</v>
      </c>
      <c r="S14" s="145" t="s">
        <v>148</v>
      </c>
      <c r="T14" s="145"/>
      <c r="U14" s="145"/>
      <c r="V14" s="52">
        <f>V13*0.15</f>
        <v>175.81113449999998</v>
      </c>
      <c r="W14" s="52"/>
    </row>
    <row r="15" spans="1:23" ht="31.5" customHeight="1" x14ac:dyDescent="0.25">
      <c r="A15" s="45">
        <v>7</v>
      </c>
      <c r="B15" s="145" t="s">
        <v>149</v>
      </c>
      <c r="C15" s="145"/>
      <c r="D15" s="145"/>
      <c r="E15" s="57">
        <f>E13+E14</f>
        <v>2619.7761472499997</v>
      </c>
      <c r="F15" s="45">
        <f>F13+F14</f>
        <v>154.215</v>
      </c>
      <c r="J15" s="52">
        <v>7</v>
      </c>
      <c r="K15" s="145" t="s">
        <v>149</v>
      </c>
      <c r="L15" s="145"/>
      <c r="M15" s="145"/>
      <c r="N15" s="57">
        <f>N13+N14</f>
        <v>1271.8907827500002</v>
      </c>
      <c r="O15" s="52">
        <f>O13+O14</f>
        <v>154.215</v>
      </c>
      <c r="R15" s="52">
        <v>7</v>
      </c>
      <c r="S15" s="145" t="s">
        <v>149</v>
      </c>
      <c r="T15" s="145"/>
      <c r="U15" s="145"/>
      <c r="V15" s="57">
        <f>V13+V14</f>
        <v>1347.8853644999999</v>
      </c>
      <c r="W15" s="52"/>
    </row>
    <row r="16" spans="1:23" ht="45" customHeight="1" x14ac:dyDescent="0.25">
      <c r="A16" s="130">
        <v>8</v>
      </c>
      <c r="B16" s="145" t="s">
        <v>150</v>
      </c>
      <c r="C16" s="145"/>
      <c r="D16" s="145"/>
      <c r="E16" s="57">
        <f>SUM(E17:E20)</f>
        <v>276.69428551234057</v>
      </c>
      <c r="F16" s="57">
        <f>F17+F18+F19+F20</f>
        <v>15.745657370517929</v>
      </c>
      <c r="J16" s="130">
        <v>8</v>
      </c>
      <c r="K16" s="145" t="s">
        <v>150</v>
      </c>
      <c r="L16" s="145"/>
      <c r="M16" s="145"/>
      <c r="N16" s="57">
        <f>SUM(N17:N20)</f>
        <v>134.3339627518028</v>
      </c>
      <c r="O16" s="52">
        <v>15.75</v>
      </c>
      <c r="R16" s="130">
        <v>8</v>
      </c>
      <c r="S16" s="145" t="s">
        <v>150</v>
      </c>
      <c r="T16" s="145"/>
      <c r="U16" s="145"/>
      <c r="V16" s="57">
        <f>SUM(V17:V20)</f>
        <v>142.36032276053785</v>
      </c>
      <c r="W16" s="52"/>
    </row>
    <row r="17" spans="1:23" ht="47.25" customHeight="1" x14ac:dyDescent="0.25">
      <c r="A17" s="130"/>
      <c r="B17" s="145" t="s">
        <v>151</v>
      </c>
      <c r="C17" s="145"/>
      <c r="D17" s="145"/>
      <c r="E17" s="57">
        <f>E15*F17/100</f>
        <v>7.8593284417499989</v>
      </c>
      <c r="F17" s="45">
        <v>0.3</v>
      </c>
      <c r="J17" s="130"/>
      <c r="K17" s="145" t="s">
        <v>151</v>
      </c>
      <c r="L17" s="145"/>
      <c r="M17" s="145"/>
      <c r="N17" s="57">
        <f>N15*O17/100</f>
        <v>3.8156723482500006</v>
      </c>
      <c r="O17" s="52">
        <v>0.3</v>
      </c>
      <c r="R17" s="130"/>
      <c r="S17" s="145" t="s">
        <v>151</v>
      </c>
      <c r="T17" s="145"/>
      <c r="U17" s="145"/>
      <c r="V17" s="57">
        <f>V15*W17/100</f>
        <v>4.0436560934999992</v>
      </c>
      <c r="W17" s="52">
        <v>0.3</v>
      </c>
    </row>
    <row r="18" spans="1:23" ht="15.75" customHeight="1" x14ac:dyDescent="0.25">
      <c r="A18" s="130"/>
      <c r="B18" s="145" t="s">
        <v>152</v>
      </c>
      <c r="C18" s="145"/>
      <c r="D18" s="145"/>
      <c r="E18" s="57">
        <f>E15*24/251</f>
        <v>250.49652403984061</v>
      </c>
      <c r="F18" s="57">
        <f>F15*24/251</f>
        <v>14.745657370517927</v>
      </c>
      <c r="J18" s="130"/>
      <c r="K18" s="145" t="s">
        <v>152</v>
      </c>
      <c r="L18" s="145"/>
      <c r="M18" s="145"/>
      <c r="N18" s="57">
        <f>N15*24/251</f>
        <v>121.61505492430281</v>
      </c>
      <c r="O18" s="52">
        <v>14.75</v>
      </c>
      <c r="R18" s="130"/>
      <c r="S18" s="145" t="s">
        <v>152</v>
      </c>
      <c r="T18" s="145"/>
      <c r="U18" s="145"/>
      <c r="V18" s="57">
        <f>V15*24/251</f>
        <v>128.88146911553784</v>
      </c>
      <c r="W18" s="52" t="s">
        <v>145</v>
      </c>
    </row>
    <row r="19" spans="1:23" ht="31.5" customHeight="1" x14ac:dyDescent="0.25">
      <c r="A19" s="130"/>
      <c r="B19" s="145" t="s">
        <v>153</v>
      </c>
      <c r="C19" s="145"/>
      <c r="D19" s="145"/>
      <c r="E19" s="57">
        <f>E15*F19/100</f>
        <v>10.479104588999999</v>
      </c>
      <c r="F19" s="45">
        <v>0.4</v>
      </c>
      <c r="J19" s="130"/>
      <c r="K19" s="145" t="s">
        <v>153</v>
      </c>
      <c r="L19" s="145"/>
      <c r="M19" s="145"/>
      <c r="N19" s="57">
        <f>N15*O19/100</f>
        <v>5.0875631310000013</v>
      </c>
      <c r="O19" s="52">
        <v>0.4</v>
      </c>
      <c r="R19" s="130"/>
      <c r="S19" s="145" t="s">
        <v>153</v>
      </c>
      <c r="T19" s="145"/>
      <c r="U19" s="145"/>
      <c r="V19" s="57">
        <f>V15*W19/100</f>
        <v>5.3915414580000007</v>
      </c>
      <c r="W19" s="52">
        <v>0.4</v>
      </c>
    </row>
    <row r="20" spans="1:23" ht="15.75" customHeight="1" x14ac:dyDescent="0.25">
      <c r="A20" s="130"/>
      <c r="B20" s="145" t="s">
        <v>154</v>
      </c>
      <c r="C20" s="145"/>
      <c r="D20" s="145"/>
      <c r="E20" s="57">
        <f>E15*F20/100</f>
        <v>7.8593284417499989</v>
      </c>
      <c r="F20" s="45">
        <v>0.3</v>
      </c>
      <c r="J20" s="130"/>
      <c r="K20" s="145" t="s">
        <v>154</v>
      </c>
      <c r="L20" s="145"/>
      <c r="M20" s="145"/>
      <c r="N20" s="57">
        <f>N15*O20/100</f>
        <v>3.8156723482500006</v>
      </c>
      <c r="O20" s="52">
        <v>0.3</v>
      </c>
      <c r="R20" s="130"/>
      <c r="S20" s="145" t="s">
        <v>154</v>
      </c>
      <c r="T20" s="145"/>
      <c r="U20" s="145"/>
      <c r="V20" s="57">
        <f>V15*W20/100</f>
        <v>4.0436560934999992</v>
      </c>
      <c r="W20" s="52">
        <v>0.3</v>
      </c>
    </row>
    <row r="21" spans="1:23" ht="31.5" customHeight="1" x14ac:dyDescent="0.25">
      <c r="A21" s="45">
        <v>9</v>
      </c>
      <c r="B21" s="145" t="s">
        <v>155</v>
      </c>
      <c r="C21" s="145"/>
      <c r="D21" s="145"/>
      <c r="E21" s="57">
        <f>E15+E16</f>
        <v>2896.4704327623404</v>
      </c>
      <c r="F21" s="57">
        <f>F15+F16</f>
        <v>169.96065737051794</v>
      </c>
      <c r="J21" s="52">
        <v>9</v>
      </c>
      <c r="K21" s="145" t="s">
        <v>155</v>
      </c>
      <c r="L21" s="145"/>
      <c r="M21" s="145"/>
      <c r="N21" s="57">
        <f>N15+N16</f>
        <v>1406.224745501803</v>
      </c>
      <c r="O21" s="52">
        <v>169.96</v>
      </c>
      <c r="R21" s="52">
        <v>9</v>
      </c>
      <c r="S21" s="145" t="s">
        <v>155</v>
      </c>
      <c r="T21" s="145"/>
      <c r="U21" s="145"/>
      <c r="V21" s="57">
        <f>V15+V16</f>
        <v>1490.2456872605378</v>
      </c>
      <c r="W21" s="52"/>
    </row>
  </sheetData>
  <mergeCells count="57">
    <mergeCell ref="S21:U21"/>
    <mergeCell ref="K21:M21"/>
    <mergeCell ref="R3:R5"/>
    <mergeCell ref="S6:U6"/>
    <mergeCell ref="R7:R11"/>
    <mergeCell ref="S7:U7"/>
    <mergeCell ref="S8:U8"/>
    <mergeCell ref="S9:U9"/>
    <mergeCell ref="S10:U10"/>
    <mergeCell ref="S11:U11"/>
    <mergeCell ref="S12:U12"/>
    <mergeCell ref="S13:U13"/>
    <mergeCell ref="S14:U14"/>
    <mergeCell ref="S15:U15"/>
    <mergeCell ref="R16:R20"/>
    <mergeCell ref="S16:U16"/>
    <mergeCell ref="S17:U17"/>
    <mergeCell ref="S18:U18"/>
    <mergeCell ref="S19:U19"/>
    <mergeCell ref="S20:U20"/>
    <mergeCell ref="K12:M12"/>
    <mergeCell ref="K13:M13"/>
    <mergeCell ref="K14:M14"/>
    <mergeCell ref="K15:M15"/>
    <mergeCell ref="J16:J20"/>
    <mergeCell ref="K16:M16"/>
    <mergeCell ref="K17:M17"/>
    <mergeCell ref="K18:M18"/>
    <mergeCell ref="K19:M19"/>
    <mergeCell ref="K20:M20"/>
    <mergeCell ref="A3:A5"/>
    <mergeCell ref="B6:D6"/>
    <mergeCell ref="J3:J5"/>
    <mergeCell ref="K6:M6"/>
    <mergeCell ref="J7:J11"/>
    <mergeCell ref="K7:M7"/>
    <mergeCell ref="K8:M8"/>
    <mergeCell ref="K9:M9"/>
    <mergeCell ref="K10:M10"/>
    <mergeCell ref="K11:M11"/>
    <mergeCell ref="A7:A11"/>
    <mergeCell ref="B7:D7"/>
    <mergeCell ref="B8:D8"/>
    <mergeCell ref="B9:D9"/>
    <mergeCell ref="B10:D10"/>
    <mergeCell ref="B11:D11"/>
    <mergeCell ref="A16:A20"/>
    <mergeCell ref="B16:D16"/>
    <mergeCell ref="B17:D17"/>
    <mergeCell ref="B18:D18"/>
    <mergeCell ref="B19:D19"/>
    <mergeCell ref="B20:D20"/>
    <mergeCell ref="B21:D21"/>
    <mergeCell ref="B12:D12"/>
    <mergeCell ref="B13:D13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80" zoomScaleNormal="80" workbookViewId="0">
      <selection activeCell="B6" sqref="B6:F6"/>
    </sheetView>
  </sheetViews>
  <sheetFormatPr defaultRowHeight="15" x14ac:dyDescent="0.25"/>
  <cols>
    <col min="2" max="2" width="18.5703125" customWidth="1"/>
    <col min="3" max="3" width="16.7109375" customWidth="1"/>
    <col min="4" max="4" width="15.7109375" customWidth="1"/>
    <col min="5" max="5" width="16.28515625" customWidth="1"/>
    <col min="6" max="6" width="20.140625" customWidth="1"/>
    <col min="7" max="7" width="16.85546875" customWidth="1"/>
    <col min="8" max="8" width="16.28515625" customWidth="1"/>
  </cols>
  <sheetData>
    <row r="1" spans="1:8" ht="52.5" customHeight="1" x14ac:dyDescent="0.25">
      <c r="A1" s="45" t="s">
        <v>0</v>
      </c>
      <c r="B1" s="45" t="s">
        <v>132</v>
      </c>
      <c r="C1" s="45" t="s">
        <v>157</v>
      </c>
      <c r="D1" s="45" t="s">
        <v>158</v>
      </c>
      <c r="E1" s="45" t="s">
        <v>159</v>
      </c>
      <c r="F1" s="45" t="s">
        <v>160</v>
      </c>
      <c r="G1" s="45" t="s">
        <v>161</v>
      </c>
      <c r="H1" s="45" t="s">
        <v>162</v>
      </c>
    </row>
    <row r="2" spans="1:8" ht="63" customHeight="1" x14ac:dyDescent="0.25">
      <c r="A2" s="130">
        <v>1</v>
      </c>
      <c r="B2" s="48" t="s">
        <v>163</v>
      </c>
      <c r="C2" s="48"/>
      <c r="D2" s="130">
        <v>1754</v>
      </c>
      <c r="E2" s="48"/>
      <c r="F2" s="48"/>
      <c r="G2" s="48"/>
      <c r="H2" s="48"/>
    </row>
    <row r="3" spans="1:8" ht="15.75" x14ac:dyDescent="0.25">
      <c r="A3" s="130"/>
      <c r="B3" s="61" t="s">
        <v>137</v>
      </c>
      <c r="C3" s="45">
        <v>1</v>
      </c>
      <c r="D3" s="130"/>
      <c r="E3" s="45">
        <f>C3*D2</f>
        <v>1754</v>
      </c>
      <c r="F3" s="45">
        <v>27.59</v>
      </c>
      <c r="G3" s="58">
        <f>E3*F3/1000</f>
        <v>48.392859999999999</v>
      </c>
      <c r="H3" s="58">
        <f>G3/$G$6*$H$6</f>
        <v>10.680964732298401</v>
      </c>
    </row>
    <row r="4" spans="1:8" ht="15.75" x14ac:dyDescent="0.25">
      <c r="A4" s="130"/>
      <c r="B4" s="61" t="s">
        <v>138</v>
      </c>
      <c r="C4" s="45">
        <f>'Осн и вспом. раб'!C21:E21+'Осн и вспом. раб'!C22:E22+'Осн и вспом. раб'!C23:E23+'Осн и вспом. раб'!C25:E25</f>
        <v>4</v>
      </c>
      <c r="D4" s="130"/>
      <c r="E4" s="45">
        <f>C4*D2</f>
        <v>7016</v>
      </c>
      <c r="F4" s="45">
        <v>28.35</v>
      </c>
      <c r="G4" s="58">
        <f t="shared" ref="G4:G5" si="0">E4*F4/1000</f>
        <v>198.90360000000001</v>
      </c>
      <c r="H4" s="58">
        <f t="shared" ref="H4:H5" si="1">G4/$G$6*$H$6</f>
        <v>43.900739421625183</v>
      </c>
    </row>
    <row r="5" spans="1:8" ht="15.75" x14ac:dyDescent="0.25">
      <c r="A5" s="130"/>
      <c r="B5" s="61" t="s">
        <v>165</v>
      </c>
      <c r="C5" s="45">
        <f>'Осн и вспом. раб'!C20:E20+'Осн и вспом. раб'!C24:E24+'Осн и вспом. раб'!R11+'Осн и вспом. раб'!S11</f>
        <v>4</v>
      </c>
      <c r="D5" s="130"/>
      <c r="E5" s="45">
        <f>C5*D2</f>
        <v>7016</v>
      </c>
      <c r="F5" s="45">
        <v>29.33</v>
      </c>
      <c r="G5" s="58">
        <f t="shared" si="0"/>
        <v>205.77928</v>
      </c>
      <c r="H5" s="58">
        <f t="shared" si="1"/>
        <v>45.418295846076418</v>
      </c>
    </row>
    <row r="6" spans="1:8" ht="15.75" x14ac:dyDescent="0.25">
      <c r="A6" s="45">
        <v>2</v>
      </c>
      <c r="B6" s="145" t="s">
        <v>164</v>
      </c>
      <c r="C6" s="145"/>
      <c r="D6" s="145"/>
      <c r="E6" s="145"/>
      <c r="F6" s="145"/>
      <c r="G6" s="58">
        <f>G3+G4+G5</f>
        <v>453.07574</v>
      </c>
      <c r="H6" s="45">
        <v>100</v>
      </c>
    </row>
    <row r="7" spans="1:8" ht="15.75" customHeight="1" x14ac:dyDescent="0.25">
      <c r="A7" s="130">
        <v>3</v>
      </c>
      <c r="B7" s="145" t="s">
        <v>140</v>
      </c>
      <c r="C7" s="145"/>
      <c r="D7" s="145"/>
      <c r="E7" s="145"/>
      <c r="F7" s="145"/>
      <c r="G7" s="57">
        <f>SUM(G8:G11)</f>
        <v>41.229892339999999</v>
      </c>
      <c r="H7" s="45"/>
    </row>
    <row r="8" spans="1:8" ht="15.75" customHeight="1" x14ac:dyDescent="0.25">
      <c r="A8" s="130"/>
      <c r="B8" s="145" t="s">
        <v>141</v>
      </c>
      <c r="C8" s="145"/>
      <c r="D8" s="145"/>
      <c r="E8" s="145"/>
      <c r="F8" s="145"/>
      <c r="G8" s="57">
        <f>G6*12.5*0.4/100</f>
        <v>22.653787000000001</v>
      </c>
      <c r="H8" s="45" t="s">
        <v>145</v>
      </c>
    </row>
    <row r="9" spans="1:8" ht="15.75" customHeight="1" x14ac:dyDescent="0.25">
      <c r="A9" s="130"/>
      <c r="B9" s="145" t="s">
        <v>142</v>
      </c>
      <c r="C9" s="145"/>
      <c r="D9" s="145"/>
      <c r="E9" s="145"/>
      <c r="F9" s="145"/>
      <c r="G9" s="57">
        <f>G6/'Осн и вспом. раб'!I15*0.2*'Осн и вспом. раб'!I15/20</f>
        <v>4.5307573999999997</v>
      </c>
      <c r="H9" s="45" t="s">
        <v>145</v>
      </c>
    </row>
    <row r="10" spans="1:8" ht="15.75" customHeight="1" x14ac:dyDescent="0.25">
      <c r="A10" s="130"/>
      <c r="B10" s="145" t="s">
        <v>143</v>
      </c>
      <c r="C10" s="145"/>
      <c r="D10" s="145"/>
      <c r="E10" s="145"/>
      <c r="F10" s="145"/>
      <c r="G10" s="57">
        <f>G6*H10/100</f>
        <v>0.45307574</v>
      </c>
      <c r="H10" s="45">
        <v>0.1</v>
      </c>
    </row>
    <row r="11" spans="1:8" ht="15.75" x14ac:dyDescent="0.25">
      <c r="A11" s="130"/>
      <c r="B11" s="145" t="s">
        <v>144</v>
      </c>
      <c r="C11" s="145"/>
      <c r="D11" s="145"/>
      <c r="E11" s="145"/>
      <c r="F11" s="145"/>
      <c r="G11" s="57">
        <f>G6*H11/100</f>
        <v>13.5922722</v>
      </c>
      <c r="H11" s="45">
        <v>3</v>
      </c>
    </row>
    <row r="12" spans="1:8" ht="15.75" x14ac:dyDescent="0.25">
      <c r="A12" s="45">
        <v>4</v>
      </c>
      <c r="B12" s="145" t="s">
        <v>146</v>
      </c>
      <c r="C12" s="145"/>
      <c r="D12" s="145"/>
      <c r="E12" s="145"/>
      <c r="F12" s="145"/>
      <c r="G12" s="57">
        <f>G6*H12/100</f>
        <v>113.268935</v>
      </c>
      <c r="H12" s="45">
        <v>25</v>
      </c>
    </row>
    <row r="13" spans="1:8" ht="15.75" x14ac:dyDescent="0.25">
      <c r="A13" s="45">
        <v>5</v>
      </c>
      <c r="B13" s="145" t="s">
        <v>147</v>
      </c>
      <c r="C13" s="145"/>
      <c r="D13" s="145"/>
      <c r="E13" s="145"/>
      <c r="F13" s="145"/>
      <c r="G13" s="57">
        <f>G6+G7+G12</f>
        <v>607.57456733999993</v>
      </c>
      <c r="H13" s="45"/>
    </row>
    <row r="14" spans="1:8" ht="31.5" customHeight="1" x14ac:dyDescent="0.25">
      <c r="A14" s="45">
        <v>6</v>
      </c>
      <c r="B14" s="145" t="s">
        <v>148</v>
      </c>
      <c r="C14" s="145"/>
      <c r="D14" s="145"/>
      <c r="E14" s="145"/>
      <c r="F14" s="145"/>
      <c r="G14" s="57">
        <f>G13*0.15</f>
        <v>91.136185100999981</v>
      </c>
      <c r="H14" s="45"/>
    </row>
    <row r="15" spans="1:8" ht="15.75" x14ac:dyDescent="0.25">
      <c r="A15" s="45">
        <v>7</v>
      </c>
      <c r="B15" s="145" t="s">
        <v>149</v>
      </c>
      <c r="C15" s="145"/>
      <c r="D15" s="145"/>
      <c r="E15" s="145"/>
      <c r="F15" s="145"/>
      <c r="G15" s="57">
        <f>G13+G14</f>
        <v>698.71075244099995</v>
      </c>
      <c r="H15" s="45"/>
    </row>
    <row r="16" spans="1:8" ht="31.5" customHeight="1" x14ac:dyDescent="0.25">
      <c r="A16" s="130">
        <v>8</v>
      </c>
      <c r="B16" s="145" t="s">
        <v>150</v>
      </c>
      <c r="C16" s="145"/>
      <c r="D16" s="145"/>
      <c r="E16" s="145"/>
      <c r="F16" s="145"/>
      <c r="G16" s="57">
        <f>SUM(G17:G20)</f>
        <v>73.796103773748655</v>
      </c>
      <c r="H16" s="45"/>
    </row>
    <row r="17" spans="1:8" ht="15.75" customHeight="1" x14ac:dyDescent="0.25">
      <c r="A17" s="130"/>
      <c r="B17" s="145" t="s">
        <v>151</v>
      </c>
      <c r="C17" s="145"/>
      <c r="D17" s="145"/>
      <c r="E17" s="145"/>
      <c r="F17" s="145"/>
      <c r="G17" s="57">
        <f>G15*H17/100</f>
        <v>2.0961322573229997</v>
      </c>
      <c r="H17" s="45">
        <v>0.3</v>
      </c>
    </row>
    <row r="18" spans="1:8" ht="15.75" customHeight="1" x14ac:dyDescent="0.25">
      <c r="A18" s="130"/>
      <c r="B18" s="145" t="s">
        <v>152</v>
      </c>
      <c r="C18" s="145"/>
      <c r="D18" s="145"/>
      <c r="E18" s="145"/>
      <c r="F18" s="145"/>
      <c r="G18" s="57">
        <f>G15*24/251</f>
        <v>66.808996249338648</v>
      </c>
      <c r="H18" s="45" t="s">
        <v>145</v>
      </c>
    </row>
    <row r="19" spans="1:8" ht="15.75" customHeight="1" x14ac:dyDescent="0.25">
      <c r="A19" s="130"/>
      <c r="B19" s="145" t="s">
        <v>153</v>
      </c>
      <c r="C19" s="145"/>
      <c r="D19" s="145"/>
      <c r="E19" s="145"/>
      <c r="F19" s="145"/>
      <c r="G19" s="57">
        <f>G15*H19/100</f>
        <v>2.794843009764</v>
      </c>
      <c r="H19" s="45">
        <v>0.4</v>
      </c>
    </row>
    <row r="20" spans="1:8" ht="15.75" x14ac:dyDescent="0.25">
      <c r="A20" s="130"/>
      <c r="B20" s="145" t="s">
        <v>154</v>
      </c>
      <c r="C20" s="145"/>
      <c r="D20" s="145"/>
      <c r="E20" s="145"/>
      <c r="F20" s="145"/>
      <c r="G20" s="57">
        <f>G15*H20/100</f>
        <v>2.0961322573229997</v>
      </c>
      <c r="H20" s="45">
        <v>0.3</v>
      </c>
    </row>
    <row r="21" spans="1:8" ht="15.75" x14ac:dyDescent="0.25">
      <c r="A21" s="45">
        <v>9</v>
      </c>
      <c r="B21" s="145" t="s">
        <v>155</v>
      </c>
      <c r="C21" s="145"/>
      <c r="D21" s="145"/>
      <c r="E21" s="145"/>
      <c r="F21" s="145"/>
      <c r="G21" s="57">
        <f>G15+G16</f>
        <v>772.50685621474861</v>
      </c>
      <c r="H21" s="45"/>
    </row>
  </sheetData>
  <mergeCells count="20">
    <mergeCell ref="A2:A5"/>
    <mergeCell ref="A7:A11"/>
    <mergeCell ref="B7:F7"/>
    <mergeCell ref="B8:F8"/>
    <mergeCell ref="B9:F9"/>
    <mergeCell ref="B10:F10"/>
    <mergeCell ref="B11:F11"/>
    <mergeCell ref="A16:A20"/>
    <mergeCell ref="B16:F16"/>
    <mergeCell ref="B17:F17"/>
    <mergeCell ref="B18:F18"/>
    <mergeCell ref="B19:F19"/>
    <mergeCell ref="B20:F20"/>
    <mergeCell ref="B21:F21"/>
    <mergeCell ref="D2:D5"/>
    <mergeCell ref="B12:F12"/>
    <mergeCell ref="B13:F13"/>
    <mergeCell ref="B14:F14"/>
    <mergeCell ref="B15:F15"/>
    <mergeCell ref="B6:F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4" workbookViewId="0">
      <selection activeCell="B13" sqref="B13:G13"/>
    </sheetView>
  </sheetViews>
  <sheetFormatPr defaultRowHeight="15" x14ac:dyDescent="0.25"/>
  <cols>
    <col min="1" max="1" width="16.85546875" customWidth="1"/>
    <col min="4" max="4" width="10.5703125" customWidth="1"/>
    <col min="5" max="5" width="10.140625" customWidth="1"/>
    <col min="6" max="6" width="12" customWidth="1"/>
    <col min="7" max="7" width="9.85546875" customWidth="1"/>
  </cols>
  <sheetData>
    <row r="1" spans="1:8" ht="45" x14ac:dyDescent="0.25">
      <c r="A1" s="53" t="s">
        <v>168</v>
      </c>
      <c r="B1" s="53" t="s">
        <v>169</v>
      </c>
      <c r="C1" s="68" t="s">
        <v>174</v>
      </c>
      <c r="D1" s="53" t="s">
        <v>170</v>
      </c>
      <c r="E1" s="70" t="s">
        <v>175</v>
      </c>
      <c r="F1" s="53" t="s">
        <v>171</v>
      </c>
      <c r="G1" s="68" t="s">
        <v>172</v>
      </c>
      <c r="H1" s="68" t="s">
        <v>173</v>
      </c>
    </row>
    <row r="2" spans="1:8" ht="15.75" x14ac:dyDescent="0.25">
      <c r="A2" s="59" t="s">
        <v>114</v>
      </c>
      <c r="B2" s="52">
        <f>ИТР!C3</f>
        <v>1</v>
      </c>
      <c r="C2" s="50">
        <v>32</v>
      </c>
      <c r="D2" s="50">
        <v>0.4</v>
      </c>
      <c r="E2" s="53">
        <f>C2*D2+C2</f>
        <v>44.8</v>
      </c>
      <c r="F2" s="53">
        <v>1.1499999999999999</v>
      </c>
      <c r="G2" s="53">
        <f>E2*F2</f>
        <v>51.519999999999996</v>
      </c>
      <c r="H2" s="53">
        <f>G2*12</f>
        <v>618.24</v>
      </c>
    </row>
    <row r="3" spans="1:8" ht="31.5" x14ac:dyDescent="0.25">
      <c r="A3" s="59" t="s">
        <v>115</v>
      </c>
      <c r="B3" s="52">
        <f>ИТР!C4</f>
        <v>1</v>
      </c>
      <c r="C3" s="50">
        <f>18*0.15+18</f>
        <v>20.7</v>
      </c>
      <c r="D3" s="50">
        <v>0.3</v>
      </c>
      <c r="E3" s="53">
        <f t="shared" ref="E3:E12" si="0">C3*D3+C3</f>
        <v>26.91</v>
      </c>
      <c r="F3" s="53">
        <v>1.1499999999999999</v>
      </c>
      <c r="G3" s="53">
        <f t="shared" ref="G3:G12" si="1">E3*F3</f>
        <v>30.946499999999997</v>
      </c>
      <c r="H3" s="53">
        <f t="shared" ref="H3:H12" si="2">G3*12</f>
        <v>371.35799999999995</v>
      </c>
    </row>
    <row r="4" spans="1:8" ht="15.75" x14ac:dyDescent="0.25">
      <c r="A4" s="59" t="s">
        <v>116</v>
      </c>
      <c r="B4" s="52">
        <f>ИТР!C5</f>
        <v>0.5</v>
      </c>
      <c r="C4" s="50">
        <v>9</v>
      </c>
      <c r="D4" s="50">
        <v>0.3</v>
      </c>
      <c r="E4" s="53">
        <f t="shared" si="0"/>
        <v>11.7</v>
      </c>
      <c r="F4" s="53">
        <v>1.1499999999999999</v>
      </c>
      <c r="G4" s="53">
        <f t="shared" si="1"/>
        <v>13.454999999999998</v>
      </c>
      <c r="H4" s="53">
        <f t="shared" si="2"/>
        <v>161.45999999999998</v>
      </c>
    </row>
    <row r="5" spans="1:8" ht="47.25" x14ac:dyDescent="0.25">
      <c r="A5" s="59" t="s">
        <v>118</v>
      </c>
      <c r="B5" s="52">
        <f>ИТР!C6</f>
        <v>0.5</v>
      </c>
      <c r="C5" s="50">
        <v>24</v>
      </c>
      <c r="D5" s="50">
        <v>0.3</v>
      </c>
      <c r="E5" s="53">
        <f t="shared" si="0"/>
        <v>31.2</v>
      </c>
      <c r="F5" s="53">
        <v>1.1499999999999999</v>
      </c>
      <c r="G5" s="53">
        <f t="shared" si="1"/>
        <v>35.879999999999995</v>
      </c>
      <c r="H5" s="53">
        <f t="shared" si="2"/>
        <v>430.55999999999995</v>
      </c>
    </row>
    <row r="6" spans="1:8" ht="31.5" x14ac:dyDescent="0.25">
      <c r="A6" s="59" t="s">
        <v>119</v>
      </c>
      <c r="B6" s="52">
        <f>ИТР!C7</f>
        <v>0.5</v>
      </c>
      <c r="C6" s="50">
        <v>22</v>
      </c>
      <c r="D6" s="50">
        <v>0.3</v>
      </c>
      <c r="E6" s="53">
        <f t="shared" si="0"/>
        <v>28.6</v>
      </c>
      <c r="F6" s="53">
        <v>1.1499999999999999</v>
      </c>
      <c r="G6" s="53">
        <f t="shared" si="1"/>
        <v>32.89</v>
      </c>
      <c r="H6" s="53">
        <f t="shared" si="2"/>
        <v>394.68</v>
      </c>
    </row>
    <row r="7" spans="1:8" ht="15.75" x14ac:dyDescent="0.25">
      <c r="A7" s="59" t="s">
        <v>120</v>
      </c>
      <c r="B7" s="52">
        <f>ИТР!C8</f>
        <v>0.33</v>
      </c>
      <c r="C7" s="50">
        <v>24</v>
      </c>
      <c r="D7" s="50">
        <v>0.4</v>
      </c>
      <c r="E7" s="53">
        <f t="shared" si="0"/>
        <v>33.6</v>
      </c>
      <c r="F7" s="53">
        <v>1.1499999999999999</v>
      </c>
      <c r="G7" s="53">
        <f t="shared" si="1"/>
        <v>38.64</v>
      </c>
      <c r="H7" s="53">
        <f t="shared" si="2"/>
        <v>463.68</v>
      </c>
    </row>
    <row r="8" spans="1:8" ht="47.25" x14ac:dyDescent="0.25">
      <c r="A8" s="59" t="s">
        <v>121</v>
      </c>
      <c r="B8" s="52">
        <f>ИТР!C9</f>
        <v>0.33</v>
      </c>
      <c r="C8" s="50">
        <v>22</v>
      </c>
      <c r="D8" s="50">
        <v>0.3</v>
      </c>
      <c r="E8" s="53">
        <f t="shared" si="0"/>
        <v>28.6</v>
      </c>
      <c r="F8" s="53">
        <v>1.1499999999999999</v>
      </c>
      <c r="G8" s="53">
        <f t="shared" si="1"/>
        <v>32.89</v>
      </c>
      <c r="H8" s="53">
        <f t="shared" si="2"/>
        <v>394.68</v>
      </c>
    </row>
    <row r="9" spans="1:8" ht="31.5" x14ac:dyDescent="0.25">
      <c r="A9" s="59" t="s">
        <v>124</v>
      </c>
      <c r="B9" s="52">
        <f>ИТР!C10</f>
        <v>0.33</v>
      </c>
      <c r="C9" s="50">
        <v>24</v>
      </c>
      <c r="D9" s="50">
        <v>0.3</v>
      </c>
      <c r="E9" s="53">
        <f t="shared" si="0"/>
        <v>31.2</v>
      </c>
      <c r="F9" s="53">
        <v>1.1499999999999999</v>
      </c>
      <c r="G9" s="53">
        <f t="shared" si="1"/>
        <v>35.879999999999995</v>
      </c>
      <c r="H9" s="53">
        <f t="shared" si="2"/>
        <v>430.55999999999995</v>
      </c>
    </row>
    <row r="10" spans="1:8" ht="15.75" x14ac:dyDescent="0.25">
      <c r="A10" s="59" t="s">
        <v>125</v>
      </c>
      <c r="B10" s="52">
        <f>ИТР!C11</f>
        <v>0.5</v>
      </c>
      <c r="C10" s="50">
        <v>11</v>
      </c>
      <c r="D10" s="50">
        <v>0.3</v>
      </c>
      <c r="E10" s="53">
        <f t="shared" si="0"/>
        <v>14.3</v>
      </c>
      <c r="F10" s="53">
        <v>1.1499999999999999</v>
      </c>
      <c r="G10" s="53">
        <f t="shared" si="1"/>
        <v>16.445</v>
      </c>
      <c r="H10" s="53">
        <f t="shared" si="2"/>
        <v>197.34</v>
      </c>
    </row>
    <row r="11" spans="1:8" ht="15.75" x14ac:dyDescent="0.25">
      <c r="A11" s="59" t="s">
        <v>126</v>
      </c>
      <c r="B11" s="52">
        <f>ИТР!C12</f>
        <v>0.5</v>
      </c>
      <c r="C11" s="50">
        <v>11</v>
      </c>
      <c r="D11" s="50">
        <v>0.3</v>
      </c>
      <c r="E11" s="53">
        <f t="shared" si="0"/>
        <v>14.3</v>
      </c>
      <c r="F11" s="53">
        <v>1.1499999999999999</v>
      </c>
      <c r="G11" s="53">
        <f t="shared" si="1"/>
        <v>16.445</v>
      </c>
      <c r="H11" s="53">
        <f t="shared" si="2"/>
        <v>197.34</v>
      </c>
    </row>
    <row r="12" spans="1:8" ht="15" customHeight="1" x14ac:dyDescent="0.25">
      <c r="A12" s="59" t="s">
        <v>127</v>
      </c>
      <c r="B12" s="63">
        <f>ИТР!C13</f>
        <v>1.24</v>
      </c>
      <c r="C12" s="69">
        <f>20.4*B12</f>
        <v>25.295999999999999</v>
      </c>
      <c r="D12" s="50">
        <v>0.3</v>
      </c>
      <c r="E12" s="53">
        <f t="shared" si="0"/>
        <v>32.884799999999998</v>
      </c>
      <c r="F12" s="53">
        <v>1.1499999999999999</v>
      </c>
      <c r="G12" s="53">
        <f t="shared" si="1"/>
        <v>37.817519999999995</v>
      </c>
      <c r="H12" s="53">
        <f t="shared" si="2"/>
        <v>453.81023999999991</v>
      </c>
    </row>
    <row r="13" spans="1:8" ht="15" customHeight="1" x14ac:dyDescent="0.25">
      <c r="A13" s="59" t="s">
        <v>230</v>
      </c>
      <c r="B13" s="149"/>
      <c r="C13" s="150"/>
      <c r="D13" s="150"/>
      <c r="E13" s="150"/>
      <c r="F13" s="150"/>
      <c r="G13" s="151"/>
      <c r="H13" s="82">
        <f>SUM(H2:H12)</f>
        <v>4113.7082399999999</v>
      </c>
    </row>
    <row r="14" spans="1:8" ht="15" customHeight="1" x14ac:dyDescent="0.25">
      <c r="A14" s="67"/>
    </row>
  </sheetData>
  <mergeCells count="1">
    <mergeCell ref="B13:G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Таблица 1</vt:lpstr>
      <vt:lpstr>Таблица 2</vt:lpstr>
      <vt:lpstr>Таблица 3</vt:lpstr>
      <vt:lpstr>Эл.энергия+Тепло</vt:lpstr>
      <vt:lpstr>Осн и вспом. раб</vt:lpstr>
      <vt:lpstr>ИТР</vt:lpstr>
      <vt:lpstr>Фонд ЗП осн. раб</vt:lpstr>
      <vt:lpstr>Фонд ЗП вспом. раб</vt:lpstr>
      <vt:lpstr>годовой ФОТ</vt:lpstr>
      <vt:lpstr>Калькуляция</vt:lpstr>
      <vt:lpstr>РСЭО</vt:lpstr>
      <vt:lpstr>цеховые</vt:lpstr>
      <vt:lpstr>11. Сметы затрат произв</vt:lpstr>
      <vt:lpstr>12. Расчета обьема пр</vt:lpstr>
      <vt:lpstr>13. Техн-эк пок-ли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2023-01-12T11:48:47Z</dcterms:created>
  <dcterms:modified xsi:type="dcterms:W3CDTF">2023-09-11T11:46:38Z</dcterms:modified>
</cp:coreProperties>
</file>