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embeddings/oleObject4.bin" ContentType="application/vnd.openxmlformats-officedocument.oleObject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embeddings/oleObject3.bin" ContentType="application/vnd.openxmlformats-officedocument.oleObject"/>
  <Override PartName="/xl/embeddings/oleObject2.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8" i="1"/>
  <c r="B24" i="1" l="1"/>
  <c r="B13" i="1"/>
  <c r="B14" i="1" s="1"/>
  <c r="B11" i="1"/>
  <c r="B12" i="1"/>
  <c r="B9" i="1"/>
  <c r="B23" i="1"/>
  <c r="B18" i="1" l="1"/>
  <c r="B20" i="1" s="1"/>
  <c r="H29" i="1" s="1"/>
  <c r="B15" i="1"/>
  <c r="B16" i="1" s="1"/>
  <c r="F29" i="1" l="1"/>
  <c r="G29" i="1" s="1"/>
  <c r="I29" i="1" s="1"/>
  <c r="J29" i="1" s="1"/>
  <c r="B27" i="1"/>
  <c r="B21" i="1"/>
  <c r="B22" i="1" s="1"/>
  <c r="B17" i="1"/>
  <c r="B19" i="1" s="1"/>
  <c r="F12" i="1" l="1"/>
  <c r="F13" i="1" s="1"/>
  <c r="F14" i="1" s="1"/>
  <c r="F21" i="1"/>
  <c r="F18" i="1"/>
  <c r="F15" i="1"/>
  <c r="F17" i="1"/>
  <c r="F23" i="1"/>
  <c r="K24" i="1"/>
  <c r="K22" i="1"/>
  <c r="G23" i="1"/>
  <c r="K23" i="1"/>
  <c r="H23" i="1"/>
  <c r="B25" i="1"/>
  <c r="I23" i="1"/>
  <c r="F16" i="1" l="1"/>
  <c r="F24" i="1"/>
  <c r="F25" i="1" s="1"/>
  <c r="F26" i="1" s="1"/>
  <c r="F27" i="1" s="1"/>
  <c r="F19" i="1"/>
  <c r="F20" i="1" l="1"/>
  <c r="G12" i="1" s="1"/>
  <c r="J23" i="1"/>
  <c r="B26" i="1" s="1"/>
  <c r="B28" i="1" l="1"/>
  <c r="B30" i="1" l="1"/>
  <c r="B31" i="1" s="1"/>
  <c r="E33" i="1"/>
  <c r="B29" i="1"/>
</calcChain>
</file>

<file path=xl/sharedStrings.xml><?xml version="1.0" encoding="utf-8"?>
<sst xmlns="http://schemas.openxmlformats.org/spreadsheetml/2006/main" count="64" uniqueCount="48">
  <si>
    <r>
      <t>ν</t>
    </r>
    <r>
      <rPr>
        <b/>
        <vertAlign val="subscript"/>
        <sz val="14"/>
        <color theme="1"/>
        <rFont val="Times New Roman"/>
        <family val="1"/>
        <charset val="204"/>
      </rPr>
      <t>В</t>
    </r>
    <r>
      <rPr>
        <b/>
        <sz val="14"/>
        <color theme="1"/>
        <rFont val="Times New Roman"/>
        <family val="1"/>
        <charset val="204"/>
      </rPr>
      <t xml:space="preserve"> = </t>
    </r>
  </si>
  <si>
    <r>
      <t>ν</t>
    </r>
    <r>
      <rPr>
        <b/>
        <vertAlign val="subscript"/>
        <sz val="14"/>
        <color theme="1"/>
        <rFont val="Times New Roman"/>
        <family val="1"/>
        <charset val="204"/>
      </rPr>
      <t>П</t>
    </r>
    <r>
      <rPr>
        <b/>
        <sz val="14"/>
        <color theme="1"/>
        <rFont val="Times New Roman"/>
        <family val="1"/>
        <charset val="204"/>
      </rPr>
      <t xml:space="preserve"> = </t>
    </r>
  </si>
  <si>
    <r>
      <t>Е</t>
    </r>
    <r>
      <rPr>
        <vertAlign val="subscript"/>
        <sz val="14"/>
        <color theme="1"/>
        <rFont val="Times New Roman"/>
        <family val="1"/>
        <charset val="204"/>
      </rPr>
      <t>В</t>
    </r>
    <r>
      <rPr>
        <i/>
        <sz val="14"/>
        <color theme="1"/>
        <rFont val="Times New Roman"/>
        <family val="1"/>
        <charset val="204"/>
      </rPr>
      <t xml:space="preserve"> = Е</t>
    </r>
    <r>
      <rPr>
        <vertAlign val="subscript"/>
        <sz val="14"/>
        <color theme="1"/>
        <rFont val="Times New Roman"/>
        <family val="1"/>
        <charset val="204"/>
      </rPr>
      <t>П</t>
    </r>
    <r>
      <rPr>
        <i/>
        <sz val="14"/>
        <color theme="1"/>
        <rFont val="Times New Roman"/>
        <family val="1"/>
        <charset val="204"/>
      </rPr>
      <t xml:space="preserve"> = </t>
    </r>
    <r>
      <rPr>
        <sz val="14"/>
        <color theme="1"/>
        <rFont val="Times New Roman"/>
        <family val="1"/>
        <charset val="204"/>
      </rPr>
      <t/>
    </r>
  </si>
  <si>
    <t>Мпа</t>
  </si>
  <si>
    <t>Марка стали</t>
  </si>
  <si>
    <t>№</t>
  </si>
  <si>
    <r>
      <t>h</t>
    </r>
    <r>
      <rPr>
        <vertAlign val="subscript"/>
        <sz val="10"/>
        <color theme="1"/>
        <rFont val="Times New Roman"/>
        <family val="1"/>
        <charset val="204"/>
      </rPr>
      <t>0</t>
    </r>
    <r>
      <rPr>
        <sz val="10"/>
        <color theme="1"/>
        <rFont val="Times New Roman"/>
        <family val="1"/>
        <charset val="204"/>
      </rPr>
      <t>, мм</t>
    </r>
  </si>
  <si>
    <r>
      <t>b</t>
    </r>
    <r>
      <rPr>
        <sz val="10"/>
        <color theme="1"/>
        <rFont val="Times New Roman"/>
        <family val="1"/>
        <charset val="204"/>
      </rPr>
      <t>,</t>
    </r>
  </si>
  <si>
    <t>, МПа</t>
  </si>
  <si>
    <t>, мм/с</t>
  </si>
  <si>
    <r>
      <t>ε</t>
    </r>
    <r>
      <rPr>
        <sz val="10"/>
        <color theme="1"/>
        <rFont val="Times New Roman"/>
        <family val="1"/>
        <charset val="204"/>
      </rPr>
      <t>,</t>
    </r>
  </si>
  <si>
    <t>µ</t>
  </si>
  <si>
    <r>
      <t>R</t>
    </r>
    <r>
      <rPr>
        <sz val="10"/>
        <color theme="1"/>
        <rFont val="Times New Roman"/>
        <family val="1"/>
        <charset val="204"/>
      </rPr>
      <t>, мм</t>
    </r>
  </si>
  <si>
    <t>варианта</t>
  </si>
  <si>
    <t>мм</t>
  </si>
  <si>
    <t>%</t>
  </si>
  <si>
    <t xml:space="preserve">h1 </t>
  </si>
  <si>
    <t>Δh</t>
  </si>
  <si>
    <t>σ ф2</t>
  </si>
  <si>
    <t>Вычисления</t>
  </si>
  <si>
    <t>Δh1 упр</t>
  </si>
  <si>
    <t>Δh 2 упр</t>
  </si>
  <si>
    <t>p'ср</t>
  </si>
  <si>
    <t>Н</t>
  </si>
  <si>
    <t>х2</t>
  </si>
  <si>
    <t>х1</t>
  </si>
  <si>
    <t>Lc</t>
  </si>
  <si>
    <t>tgα/2</t>
  </si>
  <si>
    <t>tgβ</t>
  </si>
  <si>
    <t>δ0</t>
  </si>
  <si>
    <t>δ1</t>
  </si>
  <si>
    <t>x1 упр</t>
  </si>
  <si>
    <t>Х пл</t>
  </si>
  <si>
    <t>D</t>
  </si>
  <si>
    <t>L</t>
  </si>
  <si>
    <t>p1</t>
  </si>
  <si>
    <t>МПа</t>
  </si>
  <si>
    <t>p23</t>
  </si>
  <si>
    <t>p4 отст</t>
  </si>
  <si>
    <t>Pср</t>
  </si>
  <si>
    <t>P</t>
  </si>
  <si>
    <t>a др</t>
  </si>
  <si>
    <t>Дж</t>
  </si>
  <si>
    <t>N др</t>
  </si>
  <si>
    <t>Вт</t>
  </si>
  <si>
    <t>Проверка</t>
  </si>
  <si>
    <t>Курбонзода Исроил</t>
  </si>
  <si>
    <t>08ПС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</si>
</sst>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33333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7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/>
    <xf numFmtId="0" fontId="0" fillId="0" borderId="2" xfId="0" applyBorder="1"/>
    <xf numFmtId="9" fontId="0" fillId="0" borderId="3" xfId="1" applyFont="1" applyBorder="1"/>
    <xf numFmtId="0" fontId="0" fillId="0" borderId="7" xfId="0" applyBorder="1"/>
    <xf numFmtId="0" fontId="0" fillId="0" borderId="8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10" fillId="0" borderId="0" xfId="0" applyFont="1"/>
    <xf numFmtId="0" fontId="0" fillId="0" borderId="12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0" xfId="0" applyFont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3</xdr:row>
          <xdr:rowOff>0</xdr:rowOff>
        </xdr:from>
        <xdr:to>
          <xdr:col>7</xdr:col>
          <xdr:colOff>200025</xdr:colOff>
          <xdr:row>4</xdr:row>
          <xdr:rowOff>38100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3</xdr:row>
          <xdr:rowOff>0</xdr:rowOff>
        </xdr:from>
        <xdr:to>
          <xdr:col>8</xdr:col>
          <xdr:colOff>180975</xdr:colOff>
          <xdr:row>4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</xdr:row>
          <xdr:rowOff>0</xdr:rowOff>
        </xdr:from>
        <xdr:to>
          <xdr:col>9</xdr:col>
          <xdr:colOff>142875</xdr:colOff>
          <xdr:row>3</xdr:row>
          <xdr:rowOff>180975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0</xdr:colOff>
          <xdr:row>3</xdr:row>
          <xdr:rowOff>0</xdr:rowOff>
        </xdr:from>
        <xdr:to>
          <xdr:col>13</xdr:col>
          <xdr:colOff>390525</xdr:colOff>
          <xdr:row>4</xdr:row>
          <xdr:rowOff>47625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3"/>
  <sheetViews>
    <sheetView tabSelected="1" topLeftCell="A19" zoomScale="145" zoomScaleNormal="145" workbookViewId="0">
      <selection activeCell="O34" sqref="O34"/>
    </sheetView>
  </sheetViews>
  <sheetFormatPr defaultRowHeight="15" x14ac:dyDescent="0.25"/>
  <cols>
    <col min="2" max="2" width="12.7109375" bestFit="1" customWidth="1"/>
    <col min="4" max="4" width="10.28515625" bestFit="1" customWidth="1"/>
    <col min="6" max="6" width="12" bestFit="1" customWidth="1"/>
  </cols>
  <sheetData>
    <row r="1" spans="1:15" ht="15.75" thickBot="1" x14ac:dyDescent="0.3">
      <c r="C1" s="21" t="s">
        <v>46</v>
      </c>
      <c r="D1" s="22"/>
      <c r="E1" s="22"/>
      <c r="F1" s="23"/>
    </row>
    <row r="2" spans="1:15" ht="21" thickBot="1" x14ac:dyDescent="0.4">
      <c r="D2" s="24">
        <v>14</v>
      </c>
      <c r="E2" s="25"/>
      <c r="F2" s="4" t="s">
        <v>0</v>
      </c>
      <c r="G2">
        <v>0.35</v>
      </c>
      <c r="H2" s="4" t="s">
        <v>1</v>
      </c>
      <c r="I2">
        <v>0.3</v>
      </c>
      <c r="J2" s="26" t="s">
        <v>2</v>
      </c>
      <c r="K2" s="26"/>
      <c r="L2" s="26"/>
      <c r="M2" s="26"/>
      <c r="N2">
        <v>215000</v>
      </c>
      <c r="O2" t="s">
        <v>3</v>
      </c>
    </row>
    <row r="3" spans="1:15" ht="15.75" thickBot="1" x14ac:dyDescent="0.3"/>
    <row r="4" spans="1:15" x14ac:dyDescent="0.25">
      <c r="D4" s="17" t="s">
        <v>4</v>
      </c>
      <c r="E4" s="1" t="s">
        <v>5</v>
      </c>
      <c r="F4" s="19" t="s">
        <v>6</v>
      </c>
      <c r="G4" s="3" t="s">
        <v>7</v>
      </c>
      <c r="H4" s="17" t="s">
        <v>8</v>
      </c>
      <c r="I4" s="17" t="s">
        <v>8</v>
      </c>
      <c r="J4" s="17" t="s">
        <v>9</v>
      </c>
      <c r="K4" s="3" t="s">
        <v>10</v>
      </c>
      <c r="L4" s="17" t="s">
        <v>11</v>
      </c>
      <c r="M4" s="19" t="s">
        <v>12</v>
      </c>
      <c r="N4" s="17" t="s">
        <v>8</v>
      </c>
    </row>
    <row r="5" spans="1:15" ht="15.75" thickBot="1" x14ac:dyDescent="0.3">
      <c r="D5" s="18"/>
      <c r="E5" s="2" t="s">
        <v>13</v>
      </c>
      <c r="F5" s="20"/>
      <c r="G5" s="2" t="s">
        <v>14</v>
      </c>
      <c r="H5" s="18"/>
      <c r="I5" s="18"/>
      <c r="J5" s="18"/>
      <c r="K5" s="2" t="s">
        <v>15</v>
      </c>
      <c r="L5" s="18"/>
      <c r="M5" s="20"/>
      <c r="N5" s="18"/>
    </row>
    <row r="6" spans="1:15" x14ac:dyDescent="0.25">
      <c r="D6" t="s">
        <v>47</v>
      </c>
      <c r="E6">
        <v>14</v>
      </c>
      <c r="F6">
        <v>2</v>
      </c>
      <c r="G6">
        <v>1265</v>
      </c>
      <c r="H6">
        <v>12.25</v>
      </c>
      <c r="I6">
        <v>18.350000000000001</v>
      </c>
      <c r="J6">
        <v>8</v>
      </c>
      <c r="K6">
        <v>0.9</v>
      </c>
      <c r="L6">
        <v>0.1459</v>
      </c>
      <c r="M6">
        <v>302</v>
      </c>
      <c r="N6">
        <v>230</v>
      </c>
    </row>
    <row r="8" spans="1:15" x14ac:dyDescent="0.25">
      <c r="A8" t="s">
        <v>16</v>
      </c>
      <c r="B8">
        <f>F6*(1-(0.01*K6))</f>
        <v>1.982</v>
      </c>
      <c r="C8" t="s">
        <v>14</v>
      </c>
    </row>
    <row r="9" spans="1:15" x14ac:dyDescent="0.25">
      <c r="A9" s="15" t="s">
        <v>17</v>
      </c>
      <c r="B9">
        <f>F6-B8</f>
        <v>1.8000000000000016E-2</v>
      </c>
      <c r="C9" t="s">
        <v>14</v>
      </c>
    </row>
    <row r="10" spans="1:15" ht="15.75" thickBot="1" x14ac:dyDescent="0.3">
      <c r="A10" t="s">
        <v>18</v>
      </c>
      <c r="B10">
        <f>N6+((-154.88/4))*K6^3+(125.47/3)*K6^2+((-25.11/2))*K6</f>
        <v>224.35052000000002</v>
      </c>
      <c r="C10" t="s">
        <v>3</v>
      </c>
      <c r="F10" s="16" t="s">
        <v>19</v>
      </c>
      <c r="G10" s="16"/>
      <c r="H10" s="16"/>
      <c r="I10" s="16"/>
      <c r="J10" s="16"/>
      <c r="K10" s="16"/>
    </row>
    <row r="11" spans="1:15" x14ac:dyDescent="0.25">
      <c r="A11" t="s">
        <v>20</v>
      </c>
      <c r="B11">
        <f>F6*(B10/N2)</f>
        <v>2.0869815813953489E-3</v>
      </c>
      <c r="C11" t="s">
        <v>14</v>
      </c>
      <c r="F11" s="7"/>
      <c r="G11" s="8"/>
      <c r="H11" s="8"/>
      <c r="I11" s="8"/>
      <c r="J11" s="8"/>
      <c r="K11" s="9"/>
    </row>
    <row r="12" spans="1:15" x14ac:dyDescent="0.25">
      <c r="A12" t="s">
        <v>21</v>
      </c>
      <c r="B12">
        <f>B8*(B10/N2)</f>
        <v>2.0681987471627907E-3</v>
      </c>
      <c r="C12" t="s">
        <v>14</v>
      </c>
      <c r="F12" s="10">
        <f>1+B19*(1-2*B23^(-1))+B23^B19*(B19-1)</f>
        <v>3.2417525108649592E-2</v>
      </c>
      <c r="G12">
        <f>F20*F21</f>
        <v>3752.8199975237776</v>
      </c>
      <c r="K12" s="11"/>
    </row>
    <row r="13" spans="1:15" x14ac:dyDescent="0.25">
      <c r="A13" t="s">
        <v>22</v>
      </c>
      <c r="B13">
        <f>1.15*B10</f>
        <v>258.00309800000002</v>
      </c>
      <c r="C13" t="s">
        <v>23</v>
      </c>
      <c r="F13" s="10">
        <f>F12/(B19+1)</f>
        <v>5.3229181288638513E-3</v>
      </c>
      <c r="K13" s="11"/>
    </row>
    <row r="14" spans="1:15" x14ac:dyDescent="0.25">
      <c r="A14" t="s">
        <v>24</v>
      </c>
      <c r="B14">
        <f>8*B13*M6*(((1-G2*G2)/(3.14*N2))+((1-I2*I2)/(3.14*N2)))</f>
        <v>1.6504402000041478</v>
      </c>
      <c r="F14" s="10">
        <f>(N2/B10)*F13</f>
        <v>5.1010686211279026</v>
      </c>
      <c r="K14" s="11"/>
    </row>
    <row r="15" spans="1:15" x14ac:dyDescent="0.25">
      <c r="A15" t="s">
        <v>25</v>
      </c>
      <c r="B15">
        <f>SQRT((M6*B9+B14^2))</f>
        <v>2.8565631191678116</v>
      </c>
      <c r="F15" s="10">
        <f>((H6/(1.15*B10))*(B23^B19)*B19)</f>
        <v>0.24296975774658991</v>
      </c>
      <c r="K15" s="11"/>
    </row>
    <row r="16" spans="1:15" x14ac:dyDescent="0.25">
      <c r="A16" t="s">
        <v>26</v>
      </c>
      <c r="B16">
        <f>B15+B14</f>
        <v>4.5070033191719592</v>
      </c>
      <c r="C16" t="s">
        <v>14</v>
      </c>
      <c r="F16" s="10">
        <f>F14-F15-1</f>
        <v>3.8580988633813131</v>
      </c>
      <c r="K16" s="11"/>
    </row>
    <row r="17" spans="1:11" x14ac:dyDescent="0.25">
      <c r="A17" t="s">
        <v>27</v>
      </c>
      <c r="B17">
        <f>((B9+B12)/2*B15)</f>
        <v>2.8663038204637475E-2</v>
      </c>
      <c r="F17" s="10">
        <f>((F6/B8)^B19+1)-1</f>
        <v>1.047094316139511</v>
      </c>
      <c r="K17" s="11"/>
    </row>
    <row r="18" spans="1:11" x14ac:dyDescent="0.25">
      <c r="A18" t="s">
        <v>28</v>
      </c>
      <c r="B18">
        <f>(B12/(2*B14))</f>
        <v>6.2655973453554779E-4</v>
      </c>
      <c r="F18" s="10">
        <f>B8/(B9*(B19+1))</f>
        <v>18.080110297077834</v>
      </c>
      <c r="K18" s="11"/>
    </row>
    <row r="19" spans="1:11" x14ac:dyDescent="0.25">
      <c r="A19" t="s">
        <v>29</v>
      </c>
      <c r="B19">
        <f>(L6/(B17))</f>
        <v>5.0901791693664356</v>
      </c>
      <c r="C19" t="s">
        <v>14</v>
      </c>
      <c r="F19" s="10">
        <f>F17*F18</f>
        <v>18.931580727245645</v>
      </c>
      <c r="K19" s="11"/>
    </row>
    <row r="20" spans="1:11" x14ac:dyDescent="0.25">
      <c r="A20" t="s">
        <v>30</v>
      </c>
      <c r="B20">
        <f>(L6/B18)</f>
        <v>232.85888313290963</v>
      </c>
      <c r="C20" t="s">
        <v>14</v>
      </c>
      <c r="F20" s="10">
        <f>F16*F19+1</f>
        <v>74.039910085797999</v>
      </c>
      <c r="K20" s="11"/>
    </row>
    <row r="21" spans="1:11" x14ac:dyDescent="0.25">
      <c r="A21" t="s">
        <v>31</v>
      </c>
      <c r="B21">
        <f>((B11*B15)/(B9+B12))</f>
        <v>0.29706675177508424</v>
      </c>
      <c r="F21" s="10">
        <f>(1.15*B10)/B19</f>
        <v>50.686447257634185</v>
      </c>
      <c r="K21" s="11"/>
    </row>
    <row r="22" spans="1:11" x14ac:dyDescent="0.25">
      <c r="A22" t="s">
        <v>32</v>
      </c>
      <c r="B22">
        <f>B15-B21</f>
        <v>2.5594963673927271</v>
      </c>
      <c r="F22" s="10">
        <v>1</v>
      </c>
      <c r="G22">
        <v>2</v>
      </c>
      <c r="H22">
        <v>3</v>
      </c>
      <c r="I22">
        <v>4</v>
      </c>
      <c r="J22">
        <v>5</v>
      </c>
      <c r="K22" s="11">
        <f>((F6/B8)^(B19+1))-1</f>
        <v>5.6603749888507693E-2</v>
      </c>
    </row>
    <row r="23" spans="1:11" x14ac:dyDescent="0.25">
      <c r="A23" t="s">
        <v>33</v>
      </c>
      <c r="B23">
        <f>(N2/(N2-B10))</f>
        <v>1.0010445808011439</v>
      </c>
      <c r="C23" t="s">
        <v>14</v>
      </c>
      <c r="F23" s="10">
        <f>(((1+B19*(1-2*B23^(-1))+(B23^B19)*(B19-1)))/(B19+1))</f>
        <v>5.3229181288638513E-3</v>
      </c>
      <c r="G23">
        <f>(H6/(1.15*B10))*((B23^B19)*B19)</f>
        <v>0.24296975774658994</v>
      </c>
      <c r="H23">
        <f>(B8/(B9*(B19+1)))+1</f>
        <v>19.080110297077834</v>
      </c>
      <c r="I23">
        <f>((1.15*B10)/B19)</f>
        <v>50.686447257634185</v>
      </c>
      <c r="J23">
        <f>F16*F19+1</f>
        <v>74.039910085797999</v>
      </c>
      <c r="K23" s="11">
        <f>(B8/(B9*(B19+1)))</f>
        <v>18.080110297077834</v>
      </c>
    </row>
    <row r="24" spans="1:11" x14ac:dyDescent="0.25">
      <c r="A24" t="s">
        <v>34</v>
      </c>
      <c r="B24">
        <f>((N2-B10)/B10)</f>
        <v>957.32182604256934</v>
      </c>
      <c r="C24" t="s">
        <v>14</v>
      </c>
      <c r="F24" s="10">
        <f>(N2/B10)*F23</f>
        <v>5.1010686211279026</v>
      </c>
      <c r="K24" s="11">
        <f>((1.15*B10)/B19)</f>
        <v>50.686447257634185</v>
      </c>
    </row>
    <row r="25" spans="1:11" x14ac:dyDescent="0.25">
      <c r="A25" t="s">
        <v>35</v>
      </c>
      <c r="B25">
        <f>1.15*N2*((1/B19)+(B24/(B19+1)*(((B19-1)/((B19+1)*B19)-(H6/(1.15*N2)))*(B23^(B19+1)-1)-2*LN(B23))))</f>
        <v>116.94779442015211</v>
      </c>
      <c r="C25" t="s">
        <v>36</v>
      </c>
      <c r="F25" s="10">
        <f>F24-G23-1</f>
        <v>3.8580988633813122</v>
      </c>
      <c r="K25" s="11"/>
    </row>
    <row r="26" spans="1:11" x14ac:dyDescent="0.25">
      <c r="A26" t="s">
        <v>37</v>
      </c>
      <c r="B26">
        <f>F23*G23*H23*I23*J23</f>
        <v>92.606319069467247</v>
      </c>
      <c r="C26" t="s">
        <v>36</v>
      </c>
      <c r="F26" s="10">
        <f>F25*K23+1</f>
        <v>70.75485298696475</v>
      </c>
      <c r="G26">
        <v>2</v>
      </c>
      <c r="H26">
        <v>3</v>
      </c>
      <c r="I26">
        <v>4</v>
      </c>
      <c r="K26" s="11"/>
    </row>
    <row r="27" spans="1:11" x14ac:dyDescent="0.25">
      <c r="A27" t="s">
        <v>38</v>
      </c>
      <c r="B27">
        <f>1.15*(N2)*((1/B20)+(B24/(1+B20))*(((B20-1)/((1+B20)*B20)-(I6/(1.15*N2))))*(B23^(1+B20)-1)-(2*LN(B23)))</f>
        <v>1716.4966017099948</v>
      </c>
      <c r="C27" t="s">
        <v>36</v>
      </c>
      <c r="F27" s="10">
        <f>K24*F26</f>
        <v>3586.3121241454492</v>
      </c>
      <c r="K27" s="11"/>
    </row>
    <row r="28" spans="1:11" x14ac:dyDescent="0.25">
      <c r="A28" t="s">
        <v>39</v>
      </c>
      <c r="B28">
        <f>(2.6/B16)*(B25*B21+B26*B22+B27*B14)</f>
        <v>1791.0634172938949</v>
      </c>
      <c r="C28" t="s">
        <v>23</v>
      </c>
      <c r="F28" s="10"/>
      <c r="K28" s="11"/>
    </row>
    <row r="29" spans="1:11" ht="15.75" thickBot="1" x14ac:dyDescent="0.3">
      <c r="A29" t="s">
        <v>40</v>
      </c>
      <c r="B29">
        <f>B28*B16*G6</f>
        <v>10211495.889737686</v>
      </c>
      <c r="C29" t="s">
        <v>23</v>
      </c>
      <c r="F29" s="12">
        <f>((1+B20)/((1-B20)*B20)-(I6/(1.15*N2)))*((B23^1-B20)-1)</f>
        <v>1.0259032777706325</v>
      </c>
      <c r="G29" s="13">
        <f>F29-2*LN(B23)</f>
        <v>1.0238152065581274</v>
      </c>
      <c r="H29" s="13">
        <f>((-1/B20)+(B24/(1-B20)))</f>
        <v>-4.1331930812708846</v>
      </c>
      <c r="I29" s="13">
        <f>G29*H29</f>
        <v>-4.2316259282459736</v>
      </c>
      <c r="J29" s="13">
        <f>1.15*N2*I29</f>
        <v>-1046269.5107588168</v>
      </c>
      <c r="K29" s="14"/>
    </row>
    <row r="30" spans="1:11" x14ac:dyDescent="0.25">
      <c r="A30" t="s">
        <v>41</v>
      </c>
      <c r="B30">
        <f>B28*LN(F6/B8)</f>
        <v>16.192547011559537</v>
      </c>
      <c r="C30" t="s">
        <v>42</v>
      </c>
    </row>
    <row r="31" spans="1:11" ht="15.75" thickBot="1" x14ac:dyDescent="0.3">
      <c r="A31" t="s">
        <v>43</v>
      </c>
      <c r="B31">
        <f>(B30*J6*B8*G6)/1000</f>
        <v>324.7875171503394</v>
      </c>
      <c r="C31" t="s">
        <v>44</v>
      </c>
    </row>
    <row r="32" spans="1:11" x14ac:dyDescent="0.25">
      <c r="E32" s="5" t="s">
        <v>45</v>
      </c>
    </row>
    <row r="33" spans="5:5" ht="15.75" thickBot="1" x14ac:dyDescent="0.3">
      <c r="E33" s="6">
        <f>(B13-B28)/B13</f>
        <v>-5.9420229104919295</v>
      </c>
    </row>
  </sheetData>
  <mergeCells count="12">
    <mergeCell ref="F10:K10"/>
    <mergeCell ref="L4:L5"/>
    <mergeCell ref="M4:M5"/>
    <mergeCell ref="N4:N5"/>
    <mergeCell ref="C1:F1"/>
    <mergeCell ref="D2:E2"/>
    <mergeCell ref="D4:D5"/>
    <mergeCell ref="F4:F5"/>
    <mergeCell ref="H4:H5"/>
    <mergeCell ref="J2:M2"/>
    <mergeCell ref="J4:J5"/>
    <mergeCell ref="I4:I5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44" r:id="rId4">
          <objectPr defaultSize="0" autoPict="0" r:id="rId5">
            <anchor moveWithCells="1" sizeWithCells="1">
              <from>
                <xdr:col>7</xdr:col>
                <xdr:colOff>0</xdr:colOff>
                <xdr:row>3</xdr:row>
                <xdr:rowOff>0</xdr:rowOff>
              </from>
              <to>
                <xdr:col>7</xdr:col>
                <xdr:colOff>200025</xdr:colOff>
                <xdr:row>4</xdr:row>
                <xdr:rowOff>38100</xdr:rowOff>
              </to>
            </anchor>
          </objectPr>
        </oleObject>
      </mc:Choice>
      <mc:Fallback>
        <oleObject progId="Equation.3" shapeId="1044" r:id="rId4"/>
      </mc:Fallback>
    </mc:AlternateContent>
    <mc:AlternateContent xmlns:mc="http://schemas.openxmlformats.org/markup-compatibility/2006">
      <mc:Choice Requires="x14">
        <oleObject progId="Equation.3" shapeId="1043" r:id="rId6">
          <objectPr defaultSize="0" autoPict="0" r:id="rId7">
            <anchor moveWithCells="1" sizeWithCells="1">
              <from>
                <xdr:col>8</xdr:col>
                <xdr:colOff>0</xdr:colOff>
                <xdr:row>3</xdr:row>
                <xdr:rowOff>0</xdr:rowOff>
              </from>
              <to>
                <xdr:col>8</xdr:col>
                <xdr:colOff>180975</xdr:colOff>
                <xdr:row>4</xdr:row>
                <xdr:rowOff>28575</xdr:rowOff>
              </to>
            </anchor>
          </objectPr>
        </oleObject>
      </mc:Choice>
      <mc:Fallback>
        <oleObject progId="Equation.3" shapeId="1043" r:id="rId6"/>
      </mc:Fallback>
    </mc:AlternateContent>
    <mc:AlternateContent xmlns:mc="http://schemas.openxmlformats.org/markup-compatibility/2006">
      <mc:Choice Requires="x14">
        <oleObject progId="Equation.3" shapeId="1042" r:id="rId8">
          <objectPr defaultSize="0" autoPict="0" r:id="rId9">
            <anchor moveWithCells="1" sizeWithCells="1">
              <from>
                <xdr:col>9</xdr:col>
                <xdr:colOff>0</xdr:colOff>
                <xdr:row>3</xdr:row>
                <xdr:rowOff>0</xdr:rowOff>
              </from>
              <to>
                <xdr:col>9</xdr:col>
                <xdr:colOff>142875</xdr:colOff>
                <xdr:row>3</xdr:row>
                <xdr:rowOff>180975</xdr:rowOff>
              </to>
            </anchor>
          </objectPr>
        </oleObject>
      </mc:Choice>
      <mc:Fallback>
        <oleObject progId="Equation.3" shapeId="1042" r:id="rId8"/>
      </mc:Fallback>
    </mc:AlternateContent>
    <mc:AlternateContent xmlns:mc="http://schemas.openxmlformats.org/markup-compatibility/2006">
      <mc:Choice Requires="x14">
        <oleObject progId="Equation.3" shapeId="1041" r:id="rId10">
          <objectPr defaultSize="0" autoPict="0" r:id="rId11">
            <anchor moveWithCells="1" sizeWithCells="1">
              <from>
                <xdr:col>13</xdr:col>
                <xdr:colOff>0</xdr:colOff>
                <xdr:row>3</xdr:row>
                <xdr:rowOff>0</xdr:rowOff>
              </from>
              <to>
                <xdr:col>13</xdr:col>
                <xdr:colOff>390525</xdr:colOff>
                <xdr:row>4</xdr:row>
                <xdr:rowOff>47625</xdr:rowOff>
              </to>
            </anchor>
          </objectPr>
        </oleObject>
      </mc:Choice>
      <mc:Fallback>
        <oleObject progId="Equation.3" shapeId="1041" r:id="rId1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295F49D0AEFE94FBB7617969C00C7A6" ma:contentTypeVersion="5" ma:contentTypeDescription="Создание документа." ma:contentTypeScope="" ma:versionID="5f9357317bae9364e6eb5797813e8e9f">
  <xsd:schema xmlns:xsd="http://www.w3.org/2001/XMLSchema" xmlns:xs="http://www.w3.org/2001/XMLSchema" xmlns:p="http://schemas.microsoft.com/office/2006/metadata/properties" xmlns:ns2="023a6b90-bc2d-4667-9c34-69b829723b2a" targetNamespace="http://schemas.microsoft.com/office/2006/metadata/properties" ma:root="true" ma:fieldsID="0b1856099c40e077452256a2c9667178" ns2:_="">
    <xsd:import namespace="023a6b90-bc2d-4667-9c34-69b829723b2a"/>
    <xsd:element name="properties">
      <xsd:complexType>
        <xsd:sequence>
          <xsd:element name="documentManagement">
            <xsd:complexType>
              <xsd:all>
                <xsd:element ref="ns2:ReferenceId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3a6b90-bc2d-4667-9c34-69b829723b2a" elementFormDefault="qualified">
    <xsd:import namespace="http://schemas.microsoft.com/office/2006/documentManagement/types"/>
    <xsd:import namespace="http://schemas.microsoft.com/office/infopath/2007/PartnerControls"/>
    <xsd:element name="ReferenceId" ma:index="8" nillable="true" ma:displayName="ReferenceId" ma:indexed="true" ma:internalName="ReferenceId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ferenceId xmlns="023a6b90-bc2d-4667-9c34-69b829723b2a" xsi:nil="true"/>
  </documentManagement>
</p:properties>
</file>

<file path=customXml/itemProps1.xml><?xml version="1.0" encoding="utf-8"?>
<ds:datastoreItem xmlns:ds="http://schemas.openxmlformats.org/officeDocument/2006/customXml" ds:itemID="{657CCFBA-B553-4A87-87C4-E9960577CC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30FAEE-38A6-4336-B424-AF3145126C5C}"/>
</file>

<file path=customXml/itemProps3.xml><?xml version="1.0" encoding="utf-8"?>
<ds:datastoreItem xmlns:ds="http://schemas.openxmlformats.org/officeDocument/2006/customXml" ds:itemID="{F8BE0ADA-EC3C-424D-90A5-D92A43CA6C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2025-03-23T09:02:34Z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0x0101003295F49D0AEFE94FBB7617969C00C7A6</vt:lpwstr>
  </property>
</Properties>
</file>